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useofhr-my.sharepoint.com/personal/rreali_wyzer_nl/Documents/AC Wyzer/Wyzerberekeningen/20323/"/>
    </mc:Choice>
  </mc:AlternateContent>
  <xr:revisionPtr revIDLastSave="0" documentId="8_{7FCC2D15-1E8B-437A-B6E5-2483812E8E26}" xr6:coauthVersionLast="47" xr6:coauthVersionMax="47" xr10:uidLastSave="{00000000-0000-0000-0000-000000000000}"/>
  <workbookProtection workbookAlgorithmName="SHA-512" workbookHashValue="U2XGCm+4bYJu5V0+LxwJc3Hk8XLO2ta5qRao79piCirBVue6mn0LeRIl6P8zZ9mQAxACAZz1MgfRHqKP2j6cUQ==" workbookSaltValue="1aa70xPyvahavsmIhkxrDg==" workbookSpinCount="100000" lockStructure="1"/>
  <bookViews>
    <workbookView xWindow="28680" yWindow="-120" windowWidth="38640" windowHeight="21240" xr2:uid="{00000000-000D-0000-FFFF-FFFF00000000}"/>
  </bookViews>
  <sheets>
    <sheet name="Handleiding" sheetId="20" r:id="rId1"/>
    <sheet name="Ingave" sheetId="12" r:id="rId2"/>
    <sheet name="VT cliënt" sheetId="17" r:id="rId3"/>
    <sheet name="VT partner" sheetId="18" r:id="rId4"/>
    <sheet name="Verrekening" sheetId="19" r:id="rId5"/>
    <sheet name="Gegevens" sheetId="13" state="hidden" r:id="rId6"/>
    <sheet name="Berekeningen" sheetId="14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4" l="1"/>
  <c r="E17" i="13" l="1"/>
  <c r="F5" i="13"/>
  <c r="F6" i="13"/>
  <c r="A2" i="12"/>
  <c r="G75" i="14" l="1"/>
  <c r="K91" i="14" s="1"/>
  <c r="G82" i="14"/>
  <c r="K92" i="14" s="1"/>
  <c r="G80" i="14"/>
  <c r="I78" i="14"/>
  <c r="J78" i="14" s="1"/>
  <c r="A16" i="18"/>
  <c r="A15" i="18"/>
  <c r="F11" i="18"/>
  <c r="E11" i="18"/>
  <c r="G10" i="18"/>
  <c r="E10" i="18"/>
  <c r="K87" i="14" l="1"/>
  <c r="H81" i="14"/>
  <c r="G76" i="14"/>
  <c r="I76" i="14" s="1"/>
  <c r="K86" i="14"/>
  <c r="G83" i="14"/>
  <c r="H83" i="14"/>
  <c r="G81" i="14"/>
  <c r="G77" i="14"/>
  <c r="I80" i="14" l="1"/>
  <c r="I81" i="14" s="1"/>
  <c r="K88" i="14" s="1"/>
  <c r="J86" i="14" s="1"/>
  <c r="I82" i="14"/>
  <c r="I83" i="14" s="1"/>
  <c r="K93" i="14" s="1"/>
  <c r="J91" i="14" s="1"/>
  <c r="J83" i="14" l="1"/>
  <c r="I91" i="14"/>
  <c r="J94" i="14" s="1"/>
  <c r="J81" i="14"/>
  <c r="I86" i="14"/>
  <c r="J89" i="14" s="1"/>
  <c r="B45" i="14"/>
  <c r="C45" i="14" s="1"/>
  <c r="C46" i="14" s="1"/>
  <c r="F45" i="14"/>
  <c r="E45" i="14" s="1"/>
  <c r="E46" i="14" s="1"/>
  <c r="D47" i="14"/>
  <c r="B48" i="14"/>
  <c r="B49" i="14" s="1"/>
  <c r="B51" i="14" s="1"/>
  <c r="B52" i="14" s="1"/>
  <c r="F48" i="14"/>
  <c r="I52" i="14" s="1"/>
  <c r="I54" i="14" s="1"/>
  <c r="I57" i="14" s="1"/>
  <c r="F55" i="14"/>
  <c r="B70" i="14"/>
  <c r="B18" i="14"/>
  <c r="B23" i="14"/>
  <c r="B24" i="14" s="1"/>
  <c r="C23" i="14"/>
  <c r="E23" i="14"/>
  <c r="E24" i="14" s="1"/>
  <c r="C25" i="14"/>
  <c r="B26" i="14"/>
  <c r="B27" i="14"/>
  <c r="J95" i="14" l="1"/>
  <c r="B28" i="14"/>
  <c r="C24" i="14"/>
  <c r="B25" i="14" s="1"/>
  <c r="H52" i="14"/>
  <c r="H54" i="14" s="1"/>
  <c r="H57" i="14" s="1"/>
  <c r="B53" i="14" s="1"/>
  <c r="C53" i="14" s="1"/>
  <c r="F46" i="14"/>
  <c r="F47" i="14" s="1"/>
  <c r="F49" i="14"/>
  <c r="F51" i="14" s="1"/>
  <c r="F52" i="14" s="1"/>
  <c r="F53" i="14" s="1"/>
  <c r="E53" i="14" s="1"/>
  <c r="K24" i="14" s="1"/>
  <c r="B46" i="14"/>
  <c r="B47" i="14" s="1"/>
  <c r="A2" i="20"/>
  <c r="A153" i="14"/>
  <c r="C90" i="14"/>
  <c r="C89" i="14"/>
  <c r="D36" i="19"/>
  <c r="A38" i="19" s="1"/>
  <c r="F297" i="14"/>
  <c r="F275" i="14"/>
  <c r="A2" i="14"/>
  <c r="C14" i="14" s="1"/>
  <c r="B118" i="14"/>
  <c r="I70" i="14"/>
  <c r="C82" i="14"/>
  <c r="F87" i="14" s="1"/>
  <c r="D70" i="14"/>
  <c r="B81" i="14"/>
  <c r="B87" i="14" s="1"/>
  <c r="B102" i="14" s="1"/>
  <c r="A1" i="14"/>
  <c r="A3" i="14"/>
  <c r="B237" i="14" s="1"/>
  <c r="B255" i="14" s="1"/>
  <c r="C35" i="14"/>
  <c r="D35" i="14"/>
  <c r="G32" i="14" s="1"/>
  <c r="I240" i="14"/>
  <c r="B115" i="14"/>
  <c r="A307" i="14"/>
  <c r="F115" i="14"/>
  <c r="F128" i="14" s="1"/>
  <c r="F137" i="14" s="1"/>
  <c r="F144" i="14" s="1"/>
  <c r="A284" i="14"/>
  <c r="B265" i="14"/>
  <c r="I239" i="14"/>
  <c r="I257" i="14" s="1"/>
  <c r="A257" i="14"/>
  <c r="A256" i="14"/>
  <c r="A255" i="14"/>
  <c r="A253" i="14"/>
  <c r="B105" i="14"/>
  <c r="C70" i="14"/>
  <c r="C110" i="14"/>
  <c r="C118" i="14"/>
  <c r="B119" i="14"/>
  <c r="C119" i="14"/>
  <c r="C120" i="14"/>
  <c r="B120" i="14"/>
  <c r="C121" i="14"/>
  <c r="B121" i="14"/>
  <c r="B123" i="14"/>
  <c r="D4" i="14"/>
  <c r="F4" i="14" s="1"/>
  <c r="C131" i="14"/>
  <c r="C140" i="14"/>
  <c r="B117" i="14"/>
  <c r="A12" i="17"/>
  <c r="A13" i="17"/>
  <c r="A14" i="17"/>
  <c r="B35" i="14"/>
  <c r="F123" i="14"/>
  <c r="F105" i="14"/>
  <c r="G110" i="14"/>
  <c r="A14" i="18"/>
  <c r="B167" i="14"/>
  <c r="B168" i="14" s="1"/>
  <c r="B179" i="14" s="1"/>
  <c r="C167" i="14"/>
  <c r="F167" i="14"/>
  <c r="F168" i="14" s="1"/>
  <c r="E167" i="14"/>
  <c r="E169" i="14" s="1"/>
  <c r="I167" i="14"/>
  <c r="I168" i="14" s="1"/>
  <c r="H167" i="14"/>
  <c r="H168" i="14" s="1"/>
  <c r="L167" i="14"/>
  <c r="L169" i="14" s="1"/>
  <c r="K167" i="14"/>
  <c r="K169" i="14" s="1"/>
  <c r="K171" i="14" s="1"/>
  <c r="I241" i="14"/>
  <c r="I259" i="14" s="1"/>
  <c r="B29" i="19"/>
  <c r="K165" i="14"/>
  <c r="C29" i="19"/>
  <c r="D29" i="19"/>
  <c r="E29" i="19"/>
  <c r="F29" i="19"/>
  <c r="G29" i="19"/>
  <c r="H29" i="19"/>
  <c r="I29" i="19"/>
  <c r="J29" i="19"/>
  <c r="K29" i="19"/>
  <c r="L29" i="19"/>
  <c r="M29" i="19"/>
  <c r="G258" i="14"/>
  <c r="F238" i="14"/>
  <c r="F256" i="14" s="1"/>
  <c r="F239" i="14"/>
  <c r="F257" i="14"/>
  <c r="F240" i="14"/>
  <c r="F258" i="14" s="1"/>
  <c r="F241" i="14"/>
  <c r="F259" i="14" s="1"/>
  <c r="F237" i="14"/>
  <c r="F255" i="14" s="1"/>
  <c r="C51" i="13"/>
  <c r="D63" i="13"/>
  <c r="C62" i="14"/>
  <c r="C4" i="14"/>
  <c r="I3" i="14"/>
  <c r="A2" i="17"/>
  <c r="B235" i="14"/>
  <c r="B253" i="14" s="1"/>
  <c r="C214" i="14"/>
  <c r="C216" i="14" s="1"/>
  <c r="B214" i="14"/>
  <c r="F214" i="14"/>
  <c r="F215" i="14" s="1"/>
  <c r="E214" i="14"/>
  <c r="E215" i="14" s="1"/>
  <c r="I214" i="14"/>
  <c r="I216" i="14" s="1"/>
  <c r="H214" i="14"/>
  <c r="H216" i="14" s="1"/>
  <c r="L214" i="14"/>
  <c r="L215" i="14" s="1"/>
  <c r="K214" i="14"/>
  <c r="K216" i="14" s="1"/>
  <c r="A2" i="19"/>
  <c r="J5" i="13"/>
  <c r="K3" i="19" s="1"/>
  <c r="I165" i="14"/>
  <c r="D15" i="12"/>
  <c r="I6" i="19" s="1"/>
  <c r="D16" i="12"/>
  <c r="I7" i="19" s="1"/>
  <c r="D17" i="12"/>
  <c r="I8" i="19" s="1"/>
  <c r="H5" i="19"/>
  <c r="J5" i="19"/>
  <c r="J7" i="19"/>
  <c r="J8" i="19"/>
  <c r="J6" i="19"/>
  <c r="H8" i="19"/>
  <c r="H7" i="19"/>
  <c r="H6" i="19"/>
  <c r="B8" i="19"/>
  <c r="D6" i="19"/>
  <c r="B6" i="19"/>
  <c r="B5" i="19"/>
  <c r="B4" i="19"/>
  <c r="E6" i="17"/>
  <c r="C6" i="17"/>
  <c r="C5" i="17"/>
  <c r="C4" i="17"/>
  <c r="C8" i="18"/>
  <c r="E6" i="18"/>
  <c r="C6" i="18"/>
  <c r="C5" i="18"/>
  <c r="C4" i="18"/>
  <c r="A2" i="18"/>
  <c r="B8" i="14"/>
  <c r="A8" i="14"/>
  <c r="C8" i="14" s="1"/>
  <c r="A117" i="14"/>
  <c r="A146" i="14"/>
  <c r="A145" i="14"/>
  <c r="A144" i="14"/>
  <c r="E115" i="14"/>
  <c r="A115" i="14"/>
  <c r="C88" i="14"/>
  <c r="A82" i="14"/>
  <c r="A81" i="14"/>
  <c r="F9" i="17"/>
  <c r="G8" i="17"/>
  <c r="B10" i="14"/>
  <c r="B9" i="14"/>
  <c r="B7" i="14"/>
  <c r="A9" i="14"/>
  <c r="C9" i="14" s="1"/>
  <c r="A10" i="14"/>
  <c r="C10" i="14" s="1"/>
  <c r="I258" i="14"/>
  <c r="F169" i="14"/>
  <c r="K168" i="14"/>
  <c r="K180" i="14" s="1"/>
  <c r="F56" i="14" l="1"/>
  <c r="K26" i="14" s="1"/>
  <c r="L168" i="14"/>
  <c r="L181" i="14" s="1"/>
  <c r="M181" i="14" s="1"/>
  <c r="H98" i="14"/>
  <c r="H99" i="14"/>
  <c r="H97" i="14"/>
  <c r="E168" i="14"/>
  <c r="E173" i="14" s="1"/>
  <c r="F224" i="14"/>
  <c r="F216" i="14"/>
  <c r="F229" i="14" s="1"/>
  <c r="D119" i="14"/>
  <c r="I215" i="14"/>
  <c r="F111" i="14"/>
  <c r="H215" i="14"/>
  <c r="C15" i="14"/>
  <c r="D120" i="14"/>
  <c r="B128" i="14"/>
  <c r="B144" i="14" s="1"/>
  <c r="K215" i="14"/>
  <c r="L227" i="14" s="1"/>
  <c r="D121" i="14"/>
  <c r="L216" i="14"/>
  <c r="L218" i="14" s="1"/>
  <c r="B111" i="14"/>
  <c r="B238" i="14"/>
  <c r="B257" i="14" s="1"/>
  <c r="K72" i="14"/>
  <c r="C63" i="14"/>
  <c r="D13" i="14"/>
  <c r="H220" i="14"/>
  <c r="H224" i="14"/>
  <c r="H175" i="14"/>
  <c r="H223" i="14"/>
  <c r="H221" i="14"/>
  <c r="H177" i="14"/>
  <c r="I173" i="14"/>
  <c r="H172" i="14"/>
  <c r="H180" i="14"/>
  <c r="H176" i="14"/>
  <c r="H222" i="14"/>
  <c r="H173" i="14"/>
  <c r="H179" i="14"/>
  <c r="I172" i="14"/>
  <c r="H174" i="14"/>
  <c r="I176" i="14"/>
  <c r="I177" i="14"/>
  <c r="I180" i="14"/>
  <c r="I179" i="14"/>
  <c r="H182" i="14"/>
  <c r="I178" i="14"/>
  <c r="I175" i="14"/>
  <c r="I181" i="14"/>
  <c r="H229" i="14"/>
  <c r="H178" i="14"/>
  <c r="H227" i="14"/>
  <c r="H225" i="14"/>
  <c r="H219" i="14"/>
  <c r="H228" i="14"/>
  <c r="H226" i="14"/>
  <c r="H181" i="14"/>
  <c r="J181" i="14" s="1"/>
  <c r="I174" i="14"/>
  <c r="K219" i="14"/>
  <c r="K223" i="14"/>
  <c r="K229" i="14"/>
  <c r="K181" i="14"/>
  <c r="K176" i="14"/>
  <c r="K221" i="14"/>
  <c r="L177" i="14"/>
  <c r="K228" i="14"/>
  <c r="K227" i="14"/>
  <c r="K173" i="14"/>
  <c r="K225" i="14"/>
  <c r="K178" i="14"/>
  <c r="K177" i="14"/>
  <c r="K174" i="14"/>
  <c r="K224" i="14"/>
  <c r="K179" i="14"/>
  <c r="K172" i="14"/>
  <c r="K226" i="14"/>
  <c r="K182" i="14"/>
  <c r="L173" i="14"/>
  <c r="H169" i="14"/>
  <c r="H171" i="14" s="1"/>
  <c r="K175" i="14"/>
  <c r="K222" i="14"/>
  <c r="K220" i="14"/>
  <c r="I169" i="14"/>
  <c r="I171" i="14" s="1"/>
  <c r="I182" i="14"/>
  <c r="B181" i="14"/>
  <c r="B177" i="14"/>
  <c r="B173" i="14"/>
  <c r="B37" i="14"/>
  <c r="B38" i="14" s="1"/>
  <c r="H239" i="14"/>
  <c r="H257" i="14" s="1"/>
  <c r="C64" i="14"/>
  <c r="D14" i="14"/>
  <c r="K23" i="14"/>
  <c r="A70" i="14"/>
  <c r="E70" i="14" s="1"/>
  <c r="C72" i="14" s="1"/>
  <c r="B2" i="14"/>
  <c r="F32" i="14"/>
  <c r="B88" i="14"/>
  <c r="B93" i="14" s="1"/>
  <c r="B36" i="14"/>
  <c r="C215" i="14"/>
  <c r="C7" i="14"/>
  <c r="C11" i="14" s="1"/>
  <c r="B229" i="14"/>
  <c r="B169" i="14"/>
  <c r="B219" i="14" s="1"/>
  <c r="B220" i="14"/>
  <c r="B182" i="14"/>
  <c r="B221" i="14"/>
  <c r="B225" i="14"/>
  <c r="B180" i="14"/>
  <c r="B226" i="14"/>
  <c r="B224" i="14"/>
  <c r="G4" i="14"/>
  <c r="G7" i="14" s="1"/>
  <c r="H124" i="14" s="1"/>
  <c r="D15" i="14"/>
  <c r="B3" i="14"/>
  <c r="D72" i="14"/>
  <c r="F88" i="14"/>
  <c r="F89" i="14" s="1"/>
  <c r="F94" i="14" s="1"/>
  <c r="F102" i="14"/>
  <c r="F31" i="14"/>
  <c r="K19" i="14"/>
  <c r="K51" i="14"/>
  <c r="K31" i="14"/>
  <c r="H29" i="18" s="1"/>
  <c r="E24" i="18" s="1"/>
  <c r="F223" i="14"/>
  <c r="F219" i="14"/>
  <c r="F227" i="14"/>
  <c r="F226" i="14"/>
  <c r="B215" i="14"/>
  <c r="B216" i="14"/>
  <c r="N29" i="19"/>
  <c r="L171" i="14"/>
  <c r="M171" i="14" s="1"/>
  <c r="L179" i="14"/>
  <c r="C169" i="14"/>
  <c r="C168" i="14"/>
  <c r="C13" i="14"/>
  <c r="B55" i="14" s="1"/>
  <c r="B56" i="14" s="1"/>
  <c r="B1" i="14"/>
  <c r="B256" i="14"/>
  <c r="K218" i="14"/>
  <c r="E216" i="14"/>
  <c r="A26" i="18"/>
  <c r="A31" i="18" s="1"/>
  <c r="C153" i="14"/>
  <c r="E26" i="18" s="1"/>
  <c r="H31" i="18" s="1"/>
  <c r="F218" i="14"/>
  <c r="F222" i="14"/>
  <c r="F225" i="14"/>
  <c r="F221" i="14"/>
  <c r="F228" i="14"/>
  <c r="F220" i="14"/>
  <c r="B222" i="14"/>
  <c r="B174" i="14"/>
  <c r="B178" i="14"/>
  <c r="B228" i="14"/>
  <c r="B172" i="14"/>
  <c r="B175" i="14"/>
  <c r="B223" i="14"/>
  <c r="B227" i="14"/>
  <c r="B176" i="14"/>
  <c r="D118" i="14"/>
  <c r="D33" i="14"/>
  <c r="G31" i="14" s="1"/>
  <c r="H70" i="14"/>
  <c r="K70" i="14" s="1"/>
  <c r="E13" i="14" l="1"/>
  <c r="F13" i="14" s="1"/>
  <c r="F8" i="17" s="1"/>
  <c r="F178" i="14"/>
  <c r="E171" i="14"/>
  <c r="F171" i="14"/>
  <c r="G171" i="14" s="1"/>
  <c r="F176" i="14"/>
  <c r="E175" i="14"/>
  <c r="C229" i="14"/>
  <c r="D229" i="14" s="1"/>
  <c r="E15" i="14"/>
  <c r="E14" i="14"/>
  <c r="F14" i="14" s="1"/>
  <c r="F10" i="18" s="1"/>
  <c r="L180" i="14"/>
  <c r="M180" i="14" s="1"/>
  <c r="L182" i="14"/>
  <c r="L176" i="14"/>
  <c r="L172" i="14"/>
  <c r="L174" i="14"/>
  <c r="L178" i="14"/>
  <c r="M178" i="14" s="1"/>
  <c r="L175" i="14"/>
  <c r="E223" i="14"/>
  <c r="G223" i="14" s="1"/>
  <c r="E224" i="14"/>
  <c r="G224" i="14" s="1"/>
  <c r="H101" i="14"/>
  <c r="E22" i="12" s="1"/>
  <c r="H102" i="14"/>
  <c r="E23" i="12" s="1"/>
  <c r="D244" i="14"/>
  <c r="M176" i="14"/>
  <c r="I219" i="14"/>
  <c r="F15" i="14"/>
  <c r="B32" i="14" s="1"/>
  <c r="D32" i="14" s="1"/>
  <c r="L222" i="14"/>
  <c r="I221" i="14"/>
  <c r="J221" i="14" s="1"/>
  <c r="I223" i="14"/>
  <c r="I224" i="14"/>
  <c r="J224" i="14" s="1"/>
  <c r="I229" i="14"/>
  <c r="I228" i="14"/>
  <c r="J228" i="14" s="1"/>
  <c r="I227" i="14"/>
  <c r="J227" i="14" s="1"/>
  <c r="F182" i="14"/>
  <c r="E174" i="14"/>
  <c r="E180" i="14"/>
  <c r="E172" i="14"/>
  <c r="I225" i="14"/>
  <c r="J225" i="14" s="1"/>
  <c r="B137" i="14"/>
  <c r="F180" i="14"/>
  <c r="E227" i="14"/>
  <c r="G227" i="14" s="1"/>
  <c r="E219" i="14"/>
  <c r="G219" i="14" s="1"/>
  <c r="E181" i="14"/>
  <c r="E177" i="14"/>
  <c r="F174" i="14"/>
  <c r="I222" i="14"/>
  <c r="J222" i="14" s="1"/>
  <c r="F172" i="14"/>
  <c r="E229" i="14"/>
  <c r="G229" i="14" s="1"/>
  <c r="E228" i="14"/>
  <c r="G228" i="14" s="1"/>
  <c r="E179" i="14"/>
  <c r="E176" i="14"/>
  <c r="I220" i="14"/>
  <c r="J220" i="14" s="1"/>
  <c r="F177" i="14"/>
  <c r="I218" i="14"/>
  <c r="E221" i="14"/>
  <c r="G221" i="14" s="1"/>
  <c r="E218" i="14"/>
  <c r="G218" i="14" s="1"/>
  <c r="F181" i="14"/>
  <c r="E178" i="14"/>
  <c r="G178" i="14" s="1"/>
  <c r="I226" i="14"/>
  <c r="J226" i="14" s="1"/>
  <c r="F173" i="14"/>
  <c r="G173" i="14" s="1"/>
  <c r="F179" i="14"/>
  <c r="E225" i="14"/>
  <c r="G225" i="14" s="1"/>
  <c r="E226" i="14"/>
  <c r="G226" i="14" s="1"/>
  <c r="F175" i="14"/>
  <c r="G175" i="14" s="1"/>
  <c r="J174" i="14"/>
  <c r="E222" i="14"/>
  <c r="G222" i="14" s="1"/>
  <c r="E182" i="14"/>
  <c r="E220" i="14"/>
  <c r="G220" i="14" s="1"/>
  <c r="L226" i="14"/>
  <c r="M226" i="14" s="1"/>
  <c r="L224" i="14"/>
  <c r="M224" i="14" s="1"/>
  <c r="L228" i="14"/>
  <c r="M228" i="14" s="1"/>
  <c r="L221" i="14"/>
  <c r="M221" i="14" s="1"/>
  <c r="M174" i="14"/>
  <c r="L229" i="14"/>
  <c r="M229" i="14" s="1"/>
  <c r="L219" i="14"/>
  <c r="M219" i="14" s="1"/>
  <c r="J178" i="14"/>
  <c r="J172" i="14"/>
  <c r="D122" i="14"/>
  <c r="F124" i="14" s="1"/>
  <c r="M218" i="14"/>
  <c r="M227" i="14"/>
  <c r="M173" i="14"/>
  <c r="J182" i="14"/>
  <c r="J176" i="14"/>
  <c r="J177" i="14"/>
  <c r="J223" i="14"/>
  <c r="H218" i="14"/>
  <c r="M175" i="14"/>
  <c r="L225" i="14"/>
  <c r="M225" i="14" s="1"/>
  <c r="L220" i="14"/>
  <c r="M220" i="14" s="1"/>
  <c r="J175" i="14"/>
  <c r="L223" i="14"/>
  <c r="M223" i="14" s="1"/>
  <c r="C238" i="14"/>
  <c r="D245" i="14"/>
  <c r="B239" i="14"/>
  <c r="F93" i="14"/>
  <c r="B243" i="14"/>
  <c r="C221" i="14"/>
  <c r="D221" i="14" s="1"/>
  <c r="J173" i="14"/>
  <c r="M172" i="14"/>
  <c r="J179" i="14"/>
  <c r="M182" i="14"/>
  <c r="M222" i="14"/>
  <c r="J229" i="14"/>
  <c r="J219" i="14"/>
  <c r="J171" i="14"/>
  <c r="M177" i="14"/>
  <c r="J180" i="14"/>
  <c r="B4" i="14"/>
  <c r="M179" i="14"/>
  <c r="H241" i="14"/>
  <c r="H259" i="14" s="1"/>
  <c r="H240" i="14"/>
  <c r="H258" i="14" s="1"/>
  <c r="B262" i="14" s="1"/>
  <c r="B72" i="14"/>
  <c r="B71" i="14"/>
  <c r="B89" i="14"/>
  <c r="B94" i="14" s="1"/>
  <c r="C228" i="14"/>
  <c r="D228" i="14" s="1"/>
  <c r="C226" i="14"/>
  <c r="D226" i="14" s="1"/>
  <c r="B171" i="14"/>
  <c r="C222" i="14"/>
  <c r="D222" i="14" s="1"/>
  <c r="C224" i="14"/>
  <c r="D224" i="14" s="1"/>
  <c r="C218" i="14"/>
  <c r="C225" i="14"/>
  <c r="D225" i="14" s="1"/>
  <c r="C220" i="14"/>
  <c r="D220" i="14" s="1"/>
  <c r="E9" i="14"/>
  <c r="F90" i="14"/>
  <c r="F95" i="14" s="1"/>
  <c r="I71" i="14"/>
  <c r="J72" i="14"/>
  <c r="I72" i="14" s="1"/>
  <c r="C179" i="14"/>
  <c r="D179" i="14" s="1"/>
  <c r="C182" i="14"/>
  <c r="D182" i="14" s="1"/>
  <c r="C175" i="14"/>
  <c r="D175" i="14" s="1"/>
  <c r="C172" i="14"/>
  <c r="D172" i="14" s="1"/>
  <c r="C177" i="14"/>
  <c r="D177" i="14" s="1"/>
  <c r="C174" i="14"/>
  <c r="D174" i="14" s="1"/>
  <c r="C173" i="14"/>
  <c r="D173" i="14" s="1"/>
  <c r="C181" i="14"/>
  <c r="D181" i="14" s="1"/>
  <c r="C178" i="14"/>
  <c r="D178" i="14" s="1"/>
  <c r="C180" i="14"/>
  <c r="D180" i="14" s="1"/>
  <c r="C171" i="14"/>
  <c r="C176" i="14"/>
  <c r="D176" i="14" s="1"/>
  <c r="F33" i="14"/>
  <c r="F34" i="14" s="1"/>
  <c r="F35" i="14" s="1"/>
  <c r="G33" i="14"/>
  <c r="G34" i="14" s="1"/>
  <c r="G35" i="14" s="1"/>
  <c r="C256" i="14"/>
  <c r="D262" i="14"/>
  <c r="D263" i="14"/>
  <c r="B261" i="14"/>
  <c r="K30" i="14"/>
  <c r="H27" i="17" s="1"/>
  <c r="C33" i="14"/>
  <c r="C34" i="14" s="1"/>
  <c r="B39" i="14" s="1"/>
  <c r="B40" i="14" s="1"/>
  <c r="K25" i="14"/>
  <c r="C223" i="14"/>
  <c r="D223" i="14" s="1"/>
  <c r="B218" i="14"/>
  <c r="C227" i="14"/>
  <c r="D227" i="14" s="1"/>
  <c r="C219" i="14"/>
  <c r="D219" i="14" s="1"/>
  <c r="G176" i="14" l="1"/>
  <c r="B244" i="14"/>
  <c r="D246" i="14"/>
  <c r="B245" i="14" s="1"/>
  <c r="G179" i="14"/>
  <c r="N179" i="14" s="1"/>
  <c r="G182" i="14"/>
  <c r="B258" i="14"/>
  <c r="C32" i="14"/>
  <c r="B240" i="14"/>
  <c r="B241" i="14" s="1"/>
  <c r="B247" i="14" s="1"/>
  <c r="B124" i="14"/>
  <c r="G177" i="14"/>
  <c r="N177" i="14" s="1"/>
  <c r="J218" i="14"/>
  <c r="J230" i="14" s="1"/>
  <c r="G181" i="14"/>
  <c r="N181" i="14" s="1"/>
  <c r="G174" i="14"/>
  <c r="N174" i="14" s="1"/>
  <c r="G230" i="14"/>
  <c r="N176" i="14"/>
  <c r="N227" i="14"/>
  <c r="N226" i="14"/>
  <c r="N219" i="14"/>
  <c r="G172" i="14"/>
  <c r="N172" i="14" s="1"/>
  <c r="G180" i="14"/>
  <c r="N180" i="14" s="1"/>
  <c r="N222" i="14"/>
  <c r="N228" i="14"/>
  <c r="N224" i="14"/>
  <c r="N173" i="14"/>
  <c r="N220" i="14"/>
  <c r="N225" i="14"/>
  <c r="N175" i="14"/>
  <c r="J183" i="14"/>
  <c r="N182" i="14"/>
  <c r="M183" i="14"/>
  <c r="N221" i="14"/>
  <c r="N223" i="14"/>
  <c r="M230" i="14"/>
  <c r="B19" i="14"/>
  <c r="C19" i="14"/>
  <c r="B29" i="14" s="1"/>
  <c r="B20" i="14"/>
  <c r="K18" i="14" s="1"/>
  <c r="K20" i="14" s="1"/>
  <c r="D1" i="14"/>
  <c r="C63" i="13"/>
  <c r="N229" i="14"/>
  <c r="D171" i="14"/>
  <c r="N171" i="14" s="1"/>
  <c r="N178" i="14"/>
  <c r="B73" i="14"/>
  <c r="B74" i="14" s="1"/>
  <c r="K28" i="14" s="1"/>
  <c r="H28" i="17" s="1"/>
  <c r="E23" i="17" s="1"/>
  <c r="D264" i="14"/>
  <c r="B263" i="14" s="1"/>
  <c r="B264" i="14" s="1"/>
  <c r="B90" i="14"/>
  <c r="B95" i="14" s="1"/>
  <c r="D218" i="14"/>
  <c r="F91" i="14"/>
  <c r="F96" i="14" s="1"/>
  <c r="F97" i="14" s="1"/>
  <c r="F101" i="14" s="1"/>
  <c r="F107" i="14" s="1"/>
  <c r="G36" i="14"/>
  <c r="G37" i="14"/>
  <c r="G38" i="14" s="1"/>
  <c r="I73" i="14"/>
  <c r="I74" i="14" s="1"/>
  <c r="K29" i="14" s="1"/>
  <c r="A24" i="17"/>
  <c r="A29" i="17" s="1"/>
  <c r="E24" i="17"/>
  <c r="H29" i="17" s="1"/>
  <c r="E22" i="17"/>
  <c r="F36" i="14"/>
  <c r="F37" i="14"/>
  <c r="F38" i="14" s="1"/>
  <c r="B246" i="14" l="1"/>
  <c r="B248" i="14" s="1"/>
  <c r="B249" i="14" s="1"/>
  <c r="E284" i="14" s="1"/>
  <c r="E274" i="14" s="1"/>
  <c r="G183" i="14"/>
  <c r="N218" i="14"/>
  <c r="N230" i="14" s="1"/>
  <c r="F1" i="14"/>
  <c r="E20" i="12" s="1"/>
  <c r="N183" i="14"/>
  <c r="D183" i="14"/>
  <c r="H30" i="17"/>
  <c r="H35" i="17" s="1"/>
  <c r="A23" i="17"/>
  <c r="B83" i="14"/>
  <c r="B100" i="14" s="1"/>
  <c r="B108" i="14" s="1"/>
  <c r="B91" i="14"/>
  <c r="B96" i="14" s="1"/>
  <c r="B97" i="14" s="1"/>
  <c r="B101" i="14" s="1"/>
  <c r="B107" i="14" s="1"/>
  <c r="B266" i="14"/>
  <c r="B267" i="14" s="1"/>
  <c r="E307" i="14" s="1"/>
  <c r="E297" i="14" s="1"/>
  <c r="D230" i="14"/>
  <c r="G39" i="14"/>
  <c r="G40" i="14" s="1"/>
  <c r="K22" i="14" s="1"/>
  <c r="H34" i="18" s="1"/>
  <c r="H30" i="18"/>
  <c r="C83" i="14"/>
  <c r="F100" i="14" s="1"/>
  <c r="F108" i="14" s="1"/>
  <c r="F109" i="14" s="1"/>
  <c r="F112" i="14" s="1"/>
  <c r="F113" i="14" s="1"/>
  <c r="F125" i="14" s="1"/>
  <c r="F126" i="14" s="1"/>
  <c r="F39" i="14"/>
  <c r="F40" i="14" s="1"/>
  <c r="D40" i="14" s="1"/>
  <c r="K21" i="14" s="1"/>
  <c r="B109" i="14" l="1"/>
  <c r="B112" i="14" s="1"/>
  <c r="B113" i="14" s="1"/>
  <c r="B125" i="14" s="1"/>
  <c r="B126" i="14" s="1"/>
  <c r="B133" i="14" s="1"/>
  <c r="K50" i="14"/>
  <c r="F129" i="14"/>
  <c r="F130" i="14" s="1"/>
  <c r="F132" i="14" s="1"/>
  <c r="F133" i="14"/>
  <c r="H32" i="17"/>
  <c r="H34" i="17" s="1"/>
  <c r="H36" i="17" s="1"/>
  <c r="H32" i="18"/>
  <c r="H37" i="18" s="1"/>
  <c r="E25" i="18"/>
  <c r="B129" i="14" l="1"/>
  <c r="B130" i="14" s="1"/>
  <c r="B132" i="14" s="1"/>
  <c r="B134" i="14" s="1"/>
  <c r="B135" i="14" s="1"/>
  <c r="B145" i="14" s="1"/>
  <c r="B147" i="14" s="1"/>
  <c r="B162" i="14" s="1"/>
  <c r="K33" i="14" s="1"/>
  <c r="H36" i="18"/>
  <c r="H38" i="18" s="1"/>
  <c r="F134" i="14"/>
  <c r="F135" i="14" s="1"/>
  <c r="F138" i="14" s="1"/>
  <c r="B138" i="14" l="1"/>
  <c r="B139" i="14" s="1"/>
  <c r="B141" i="14" s="1"/>
  <c r="B142" i="14" s="1"/>
  <c r="B164" i="14"/>
  <c r="C33" i="12" s="1"/>
  <c r="C34" i="12" s="1"/>
  <c r="B61" i="14" s="1"/>
  <c r="B62" i="14" s="1"/>
  <c r="F145" i="14"/>
  <c r="F147" i="14" s="1"/>
  <c r="F149" i="14" s="1"/>
  <c r="E33" i="12" s="1"/>
  <c r="F139" i="14"/>
  <c r="F141" i="14" s="1"/>
  <c r="F142" i="14" s="1"/>
  <c r="C12" i="17" l="1"/>
  <c r="E12" i="17" s="1"/>
  <c r="B63" i="14"/>
  <c r="B64" i="14" s="1"/>
  <c r="C14" i="17" s="1"/>
  <c r="E14" i="17" s="1"/>
  <c r="K34" i="14"/>
  <c r="E34" i="12"/>
  <c r="F61" i="14" s="1"/>
  <c r="F62" i="14" l="1"/>
  <c r="B65" i="14"/>
  <c r="C13" i="17"/>
  <c r="E13" i="17" s="1"/>
  <c r="E18" i="17" l="1"/>
  <c r="E21" i="17" s="1"/>
  <c r="E294" i="14" s="1"/>
  <c r="E296" i="14" s="1"/>
  <c r="E298" i="14" s="1"/>
  <c r="C14" i="18"/>
  <c r="E14" i="18" s="1"/>
  <c r="F63" i="14"/>
  <c r="E25" i="17" l="1"/>
  <c r="C15" i="18"/>
  <c r="E15" i="18" s="1"/>
  <c r="F64" i="14"/>
  <c r="C16" i="18" s="1"/>
  <c r="E16" i="18" s="1"/>
  <c r="E277" i="14" l="1"/>
  <c r="H38" i="17"/>
  <c r="F65" i="14"/>
  <c r="E20" i="18" s="1"/>
  <c r="E23" i="18" s="1"/>
  <c r="E27" i="18" s="1"/>
  <c r="K36" i="14"/>
  <c r="K42" i="14" s="1"/>
  <c r="F11" i="19" s="1"/>
  <c r="E302" i="14" l="1"/>
  <c r="I40" i="18"/>
  <c r="K49" i="14" s="1"/>
  <c r="E271" i="14"/>
  <c r="E273" i="14" s="1"/>
  <c r="E275" i="14" s="1"/>
  <c r="L42" i="14"/>
  <c r="E300" i="14"/>
  <c r="K40" i="14" l="1"/>
  <c r="L40" i="14" s="1"/>
  <c r="K39" i="14" l="1"/>
  <c r="L39" i="14" l="1"/>
  <c r="K44" i="14" l="1"/>
  <c r="K46" i="14" s="1"/>
  <c r="L44" i="14" l="1"/>
  <c r="D38" i="19" l="1"/>
  <c r="E303" i="14"/>
  <c r="E305" i="14" s="1"/>
  <c r="E279" i="14"/>
  <c r="E280" i="14" s="1"/>
  <c r="E282" i="14" s="1"/>
  <c r="E288" i="14" s="1"/>
  <c r="E61" i="18" s="1"/>
  <c r="H40" i="18" s="1"/>
  <c r="A42" i="18" l="1"/>
  <c r="F12" i="19"/>
  <c r="F13" i="19" s="1"/>
  <c r="E311" i="14"/>
  <c r="F53" i="17" s="1"/>
  <c r="F43" i="17" s="1"/>
  <c r="A64" i="18"/>
  <c r="A63" i="18"/>
  <c r="A46" i="18"/>
  <c r="E55" i="18"/>
  <c r="E50" i="18"/>
  <c r="A50" i="18"/>
  <c r="E52" i="18"/>
  <c r="E46" i="18"/>
  <c r="A53" i="18"/>
  <c r="K37" i="14"/>
  <c r="G12" i="19" s="1"/>
  <c r="A51" i="18"/>
  <c r="A45" i="18"/>
  <c r="A47" i="18"/>
  <c r="E48" i="18"/>
  <c r="E47" i="18"/>
  <c r="F57" i="18"/>
  <c r="F47" i="18" s="1"/>
  <c r="E57" i="18"/>
  <c r="A52" i="18"/>
  <c r="A61" i="18"/>
  <c r="E53" i="18"/>
  <c r="A55" i="18"/>
  <c r="E51" i="18"/>
  <c r="A57" i="18"/>
  <c r="H12" i="19" l="1"/>
  <c r="I18" i="19" s="1"/>
  <c r="I24" i="19" s="1"/>
  <c r="E42" i="17"/>
  <c r="A43" i="17"/>
  <c r="A53" i="17" s="1"/>
  <c r="A48" i="17"/>
  <c r="E57" i="17"/>
  <c r="A59" i="17" s="1"/>
  <c r="E51" i="17"/>
  <c r="E44" i="17"/>
  <c r="E46" i="17"/>
  <c r="A47" i="17"/>
  <c r="A57" i="17"/>
  <c r="E53" i="17"/>
  <c r="E49" i="17"/>
  <c r="E48" i="17"/>
  <c r="A49" i="17"/>
  <c r="E47" i="17"/>
  <c r="A46" i="17"/>
  <c r="A51" i="17"/>
  <c r="E43" i="17"/>
  <c r="K53" i="14"/>
  <c r="G11" i="19" s="1"/>
  <c r="G13" i="19" s="1"/>
  <c r="B18" i="19" l="1"/>
  <c r="B24" i="19" s="1"/>
  <c r="L18" i="19"/>
  <c r="L24" i="19" s="1"/>
  <c r="J18" i="19"/>
  <c r="J24" i="19" s="1"/>
  <c r="G18" i="19"/>
  <c r="G24" i="19" s="1"/>
  <c r="C18" i="19"/>
  <c r="C24" i="19" s="1"/>
  <c r="M18" i="19"/>
  <c r="M24" i="19" s="1"/>
  <c r="E18" i="19"/>
  <c r="E24" i="19" s="1"/>
  <c r="K18" i="19"/>
  <c r="K24" i="19" s="1"/>
  <c r="F18" i="19"/>
  <c r="F24" i="19" s="1"/>
  <c r="D18" i="19"/>
  <c r="D24" i="19" s="1"/>
  <c r="H18" i="19"/>
  <c r="H24" i="19" s="1"/>
  <c r="A60" i="17"/>
  <c r="A40" i="17"/>
  <c r="N18" i="19" l="1"/>
  <c r="N24" i="19"/>
  <c r="H11" i="19"/>
  <c r="B17" i="19" s="1"/>
  <c r="M17" i="19" l="1"/>
  <c r="K17" i="19"/>
  <c r="H17" i="19"/>
  <c r="J17" i="19"/>
  <c r="L17" i="19"/>
  <c r="C17" i="19"/>
  <c r="D17" i="19"/>
  <c r="H13" i="19"/>
  <c r="G17" i="19"/>
  <c r="I17" i="19"/>
  <c r="E17" i="19"/>
  <c r="F17" i="19"/>
  <c r="D19" i="19" l="1"/>
  <c r="D23" i="19"/>
  <c r="D25" i="19" s="1"/>
  <c r="D33" i="19" s="1"/>
  <c r="C23" i="19"/>
  <c r="C25" i="19" s="1"/>
  <c r="C33" i="19" s="1"/>
  <c r="C19" i="19"/>
  <c r="L23" i="19"/>
  <c r="L25" i="19" s="1"/>
  <c r="L33" i="19" s="1"/>
  <c r="L19" i="19"/>
  <c r="F23" i="19"/>
  <c r="F25" i="19" s="1"/>
  <c r="F33" i="19" s="1"/>
  <c r="F19" i="19"/>
  <c r="J19" i="19"/>
  <c r="J23" i="19"/>
  <c r="J25" i="19" s="1"/>
  <c r="J33" i="19" s="1"/>
  <c r="E19" i="19"/>
  <c r="E23" i="19"/>
  <c r="E25" i="19" s="1"/>
  <c r="E33" i="19" s="1"/>
  <c r="H23" i="19"/>
  <c r="H25" i="19" s="1"/>
  <c r="H33" i="19" s="1"/>
  <c r="H19" i="19"/>
  <c r="I19" i="19"/>
  <c r="I23" i="19"/>
  <c r="I25" i="19" s="1"/>
  <c r="I33" i="19" s="1"/>
  <c r="K23" i="19"/>
  <c r="K25" i="19" s="1"/>
  <c r="K33" i="19" s="1"/>
  <c r="K19" i="19"/>
  <c r="G19" i="19"/>
  <c r="G23" i="19"/>
  <c r="G25" i="19" s="1"/>
  <c r="G33" i="19" s="1"/>
  <c r="M23" i="19"/>
  <c r="M25" i="19" s="1"/>
  <c r="M33" i="19" s="1"/>
  <c r="M19" i="19"/>
  <c r="B23" i="19"/>
  <c r="B19" i="19"/>
  <c r="N17" i="19"/>
  <c r="N19" i="19" l="1"/>
  <c r="N23" i="19"/>
  <c r="B25" i="19"/>
  <c r="N25" i="19" l="1"/>
  <c r="B33" i="19"/>
  <c r="N33" i="19" s="1"/>
  <c r="D35" i="19" s="1"/>
  <c r="D37" i="19" s="1"/>
</calcChain>
</file>

<file path=xl/sharedStrings.xml><?xml version="1.0" encoding="utf-8"?>
<sst xmlns="http://schemas.openxmlformats.org/spreadsheetml/2006/main" count="519" uniqueCount="290">
  <si>
    <t>Premie volksverzekeringen</t>
  </si>
  <si>
    <t>Algemene heffingskorting</t>
  </si>
  <si>
    <t>Aanvullende combinatiekorting</t>
  </si>
  <si>
    <t>Alleenstaande ouderkorting</t>
  </si>
  <si>
    <t>Aanvullende alleenstaande ouderkorting</t>
  </si>
  <si>
    <t>Max. aanvullende alleenstaande ouderkorting</t>
  </si>
  <si>
    <t>Ouderenkorting</t>
  </si>
  <si>
    <t>Jonggehandicaptenkorting</t>
  </si>
  <si>
    <t>Leeftijdsgrenzen kinderen op 1 januari</t>
  </si>
  <si>
    <t>jonger dan</t>
  </si>
  <si>
    <t>Gegevens voor berekening</t>
  </si>
  <si>
    <t>Naam cliënt:</t>
  </si>
  <si>
    <t>Adres</t>
  </si>
  <si>
    <t>Postcode/Woonplaats</t>
  </si>
  <si>
    <t>Geboortedatum cliënt</t>
  </si>
  <si>
    <t>Arbeid</t>
  </si>
  <si>
    <t>Wajong</t>
  </si>
  <si>
    <t>Cliënt</t>
  </si>
  <si>
    <t>Partner</t>
  </si>
  <si>
    <t>van</t>
  </si>
  <si>
    <t>Inkomstenbelasting</t>
  </si>
  <si>
    <t>Inkomen van</t>
  </si>
  <si>
    <t>Inkomen t/m</t>
  </si>
  <si>
    <t>Schijf 1</t>
  </si>
  <si>
    <t>Schijf 2</t>
  </si>
  <si>
    <t>65-</t>
  </si>
  <si>
    <t>Burgelijke staat:</t>
  </si>
  <si>
    <t>Max</t>
  </si>
  <si>
    <t>Leeftijd cliënt</t>
  </si>
  <si>
    <t>Naam partner:</t>
  </si>
  <si>
    <t>Geboortedatum partner</t>
  </si>
  <si>
    <t>Leeftijd partner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</si>
  <si>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</si>
  <si>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</si>
  <si>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</si>
  <si>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</si>
  <si>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</si>
  <si>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</si>
  <si>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</si>
  <si>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</si>
  <si>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</si>
  <si>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</si>
  <si>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</si>
  <si>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</si>
  <si>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t/m</t>
  </si>
  <si>
    <t>Reeds verrekend met de uitkering</t>
  </si>
  <si>
    <t>Jaarinkomen voor ink. Afh comb korting</t>
  </si>
  <si>
    <t>Basisbedrag IACK</t>
  </si>
  <si>
    <t>Max. IACK</t>
  </si>
  <si>
    <t>IACK</t>
  </si>
  <si>
    <t>Leeftijd kind</t>
  </si>
  <si>
    <t>Percentage extra IACK</t>
  </si>
  <si>
    <t>Totaal 65-</t>
  </si>
  <si>
    <t>IB 65-</t>
  </si>
  <si>
    <t>Alleenstaande ouderenkorting</t>
  </si>
  <si>
    <t>Gemeente:</t>
  </si>
  <si>
    <t>Geb. jaar</t>
  </si>
  <si>
    <t>Afbouw</t>
  </si>
  <si>
    <t>1e perc</t>
  </si>
  <si>
    <t>Jaarinkomen voor IACK</t>
  </si>
  <si>
    <t>Partneralimentatie</t>
  </si>
  <si>
    <t>Netto inkomsten:</t>
  </si>
  <si>
    <t>Uitkering WW, WIA ed.</t>
  </si>
  <si>
    <t>Fiscale bijstand</t>
  </si>
  <si>
    <t>Totaal fiscaal inkomen</t>
  </si>
  <si>
    <t>AHK gebruiken bij:</t>
  </si>
  <si>
    <t>Fiscale inkomsten:</t>
  </si>
  <si>
    <t>Periode 1</t>
  </si>
  <si>
    <t>Periode 2</t>
  </si>
  <si>
    <t>Periode 3</t>
  </si>
  <si>
    <t>Periode 4</t>
  </si>
  <si>
    <t>(geen AHK bij inkomsten  = 0)</t>
  </si>
  <si>
    <t xml:space="preserve">Voorlopige Aanslag </t>
  </si>
  <si>
    <t>Aantal dagen uitkering</t>
  </si>
  <si>
    <t>Arbeidskorting percentages</t>
  </si>
  <si>
    <t>AOK</t>
  </si>
  <si>
    <t>All.st oud</t>
  </si>
  <si>
    <t>Recht op</t>
  </si>
  <si>
    <t>Kortingen</t>
  </si>
  <si>
    <t>AOK(arb.korting)</t>
  </si>
  <si>
    <t>AOK(arb)</t>
  </si>
  <si>
    <t>Perc</t>
  </si>
  <si>
    <t>Inkomen</t>
  </si>
  <si>
    <t>Gebdatkind</t>
  </si>
  <si>
    <t>Leeftijd</t>
  </si>
  <si>
    <t>1=Wel 0=Niet</t>
  </si>
  <si>
    <t>1=Cl 2=P</t>
  </si>
  <si>
    <t>© Langhenkel Opleiding, Training en Advies</t>
  </si>
  <si>
    <t xml:space="preserve">   J.Liemburg</t>
  </si>
  <si>
    <t>Doorwerkbonus</t>
  </si>
  <si>
    <t>Geb datum</t>
  </si>
  <si>
    <t>Ink uitarbeid</t>
  </si>
  <si>
    <t>Bonus over</t>
  </si>
  <si>
    <t>over</t>
  </si>
  <si>
    <t>max</t>
  </si>
  <si>
    <t>Percentage</t>
  </si>
  <si>
    <t>Bonus</t>
  </si>
  <si>
    <t>Dw bonus</t>
  </si>
  <si>
    <t>JGHK</t>
  </si>
  <si>
    <t>Berekeningen heffingskortingen</t>
  </si>
  <si>
    <t>Berekening inkomensten belasting box 1</t>
  </si>
  <si>
    <t>(1e schijf)</t>
  </si>
  <si>
    <t>(2e schijf)</t>
  </si>
  <si>
    <t>(3e schijf)</t>
  </si>
  <si>
    <t>Totaal aan belasting</t>
  </si>
  <si>
    <t>Berekening loonheffing</t>
  </si>
  <si>
    <t>Arbeidskorting</t>
  </si>
  <si>
    <t>Totaal loonheffing</t>
  </si>
  <si>
    <t>Berekening arbeidskorting:</t>
  </si>
  <si>
    <t>Totaal loonheffingskortingen</t>
  </si>
  <si>
    <t>Inkomensafhankelijke combinatiekorting</t>
  </si>
  <si>
    <t xml:space="preserve"> </t>
  </si>
  <si>
    <t>Totaal recht heffingskortingen</t>
  </si>
  <si>
    <t>Maximale Voorlopige teruggaaf bedraagt gezien totaal verschuldigde loonheffing</t>
  </si>
  <si>
    <t>Inkomensafhankelijke Combinatiekorting</t>
  </si>
  <si>
    <t>Berekening Algemene Heffingskorting Minstverdiende Partner</t>
  </si>
  <si>
    <t>Totaal belasting</t>
  </si>
  <si>
    <t>Af: Arbeidskorting</t>
  </si>
  <si>
    <t>Algemene Heffingskorting</t>
  </si>
  <si>
    <t>Loonheffing cliënt</t>
  </si>
  <si>
    <t>Voorlopige teruggave cliënt</t>
  </si>
  <si>
    <t>Saldo loonheffing cliënt</t>
  </si>
  <si>
    <t>Beschikbaar voor AHK MVP</t>
  </si>
  <si>
    <t>Berekende AHK MVP</t>
  </si>
  <si>
    <t>Afbouwregeling</t>
  </si>
  <si>
    <t>Te ontvangen AHK MVP</t>
  </si>
  <si>
    <t>1e schijf</t>
  </si>
  <si>
    <t>2e schijf</t>
  </si>
  <si>
    <t>3e schijf</t>
  </si>
  <si>
    <t>Schijfinkomen</t>
  </si>
  <si>
    <t>4e schijf</t>
  </si>
  <si>
    <t>Arbeidskorting klant</t>
  </si>
  <si>
    <t>Arbeidskorting partner</t>
  </si>
  <si>
    <t>Totaal</t>
  </si>
  <si>
    <t>Berekening loonheffing klant</t>
  </si>
  <si>
    <t>Totaal AOK</t>
  </si>
  <si>
    <t>Over</t>
  </si>
  <si>
    <t>2e perc</t>
  </si>
  <si>
    <t>Evt max</t>
  </si>
  <si>
    <t>Berekende arbeidskorting:</t>
  </si>
  <si>
    <t>AHK</t>
  </si>
  <si>
    <t>Berekenen Elders benutte AHK</t>
  </si>
  <si>
    <t>Inkomsten met AHK</t>
  </si>
  <si>
    <t>Arb.korting</t>
  </si>
  <si>
    <t xml:space="preserve">Berekening loonheffing </t>
  </si>
  <si>
    <t>Loonheffing</t>
  </si>
  <si>
    <t>Per maand</t>
  </si>
  <si>
    <t>Inkomsten</t>
  </si>
  <si>
    <t>Aantal maanden inkomsten</t>
  </si>
  <si>
    <t>Aantal maanden tijdens</t>
  </si>
  <si>
    <t>bijstand</t>
  </si>
  <si>
    <t>waarover AHK tijdens bijstand</t>
  </si>
  <si>
    <t>Max AHK</t>
  </si>
  <si>
    <t>AHK per maand</t>
  </si>
  <si>
    <t>AHK elders benut</t>
  </si>
  <si>
    <t>Brutering bijstand</t>
  </si>
  <si>
    <t>Periode</t>
  </si>
  <si>
    <t>Dagen jaar</t>
  </si>
  <si>
    <t>Elders benut</t>
  </si>
  <si>
    <t>In de bijstand te ben.</t>
  </si>
  <si>
    <t>Bijstand</t>
  </si>
  <si>
    <t>Af: AHK</t>
  </si>
  <si>
    <t>Loonheffing over</t>
  </si>
  <si>
    <t>Bruteringspercentage</t>
  </si>
  <si>
    <t>ZVW</t>
  </si>
  <si>
    <t>Af te dragen LH</t>
  </si>
  <si>
    <t>LH</t>
  </si>
  <si>
    <t>Netto bijstand</t>
  </si>
  <si>
    <t>SVW loon</t>
  </si>
  <si>
    <t>ZVW percentage</t>
  </si>
  <si>
    <t>ZVW premie</t>
  </si>
  <si>
    <t>Bel. uitkering</t>
  </si>
  <si>
    <t>Fisc. uitk</t>
  </si>
  <si>
    <t>Fiscaal uitkering</t>
  </si>
  <si>
    <t xml:space="preserve">Ingave gegevens </t>
  </si>
  <si>
    <t>Cliënt:</t>
  </si>
  <si>
    <t>Kortingen:</t>
  </si>
  <si>
    <t>Recht voorlopige teruggave per kalendermaand</t>
  </si>
  <si>
    <t>AHK MVP</t>
  </si>
  <si>
    <t>Nog te verrekenen</t>
  </si>
  <si>
    <t>Uitkeringsperiodes</t>
  </si>
  <si>
    <t>Uitkeringsdagen per maand:</t>
  </si>
  <si>
    <t>Aantal dagen in februari</t>
  </si>
  <si>
    <t>Maand</t>
  </si>
  <si>
    <t>Dag</t>
  </si>
  <si>
    <t>dagen</t>
  </si>
  <si>
    <t>Recht voorlopige teruggave over uitkeringsperiode(s)</t>
  </si>
  <si>
    <t>Te ontv</t>
  </si>
  <si>
    <t>In dit veld kunt u uw eigen gemeentenaam invullen</t>
  </si>
  <si>
    <t>Naam, Adres e.d.:</t>
  </si>
  <si>
    <t>Hier kunt u de gegevens van de klant en zijn of haar partner vermelden.</t>
  </si>
  <si>
    <t>Periode:</t>
  </si>
  <si>
    <t>Vermeld hier de uitkeringsperiode(n) vermelden.</t>
  </si>
  <si>
    <t xml:space="preserve">wel volgordelijk in. </t>
  </si>
  <si>
    <t>Geboortedata:</t>
  </si>
  <si>
    <t>Vul hier de geboortedata van betrokkene(n) in.</t>
  </si>
  <si>
    <t>Als er bijv. geen partner is, dan geboortedatum leeg laten.</t>
  </si>
  <si>
    <t>In deze spreadsheet wordt er vanuit gegaan, dat de cliënt en/of partner aan de voorwaarden</t>
  </si>
  <si>
    <t>voor een bepaalde korting voldoet.</t>
  </si>
  <si>
    <t>Als bijvoorbeeld bij de cliënt een geboortedatum van het jongste kind wordt ingevuld,</t>
  </si>
  <si>
    <t>Partneralimentatie:</t>
  </si>
  <si>
    <t>Omdat over de partneralimentatie door de gemeente loonheffing</t>
  </si>
  <si>
    <t>moet worden afgedragen, vult u hier de op de uitkering gekorte</t>
  </si>
  <si>
    <t>partneralimentatie in.</t>
  </si>
  <si>
    <t>De gele invulvelden bijv. inkomsten zijn voor de klant, terwijl de overige velden bestemd zijn</t>
  </si>
  <si>
    <t>voor bijv. de inkomsten van de partner.</t>
  </si>
  <si>
    <t>In de eerste velden vult u bijv. de belastbare WW uitkering in.</t>
  </si>
  <si>
    <t>In de 2e rij de belastbare Wajong uitkering.</t>
  </si>
  <si>
    <t>In de 3e rij de belastbare inkomsten uit arbeid.</t>
  </si>
  <si>
    <t>In de 4e rij wordt automatisch (rekening houdend met heffingskortingen)</t>
  </si>
  <si>
    <t>de gefiscaliseerde bijstand berekend en ingevuld.</t>
  </si>
  <si>
    <t>Vervolgens wordt het totale fiscale inkomen berekend.</t>
  </si>
  <si>
    <t>Het is van belang dat de AHK bij bijv. de werkgever wordt benut.</t>
  </si>
  <si>
    <t>afhankelijk van de inkomsten hier een 1,2 of 3 in. Als u een 3 invult,</t>
  </si>
  <si>
    <t>dan wordt de AHK gebruikt bij inkomsten uit arbeid.</t>
  </si>
  <si>
    <t>Aantal maanden</t>
  </si>
  <si>
    <t>inkomsten:</t>
  </si>
  <si>
    <t>Als de bovenstaande inkomsten in 2 maanden worden verdiend, dat</t>
  </si>
  <si>
    <t>wordt bij de werkgever 2 maanden AHK verzilverd. Als dat in 3,5 maanden</t>
  </si>
  <si>
    <t>gebeurt, dan vult u hier 3,5 maand in.</t>
  </si>
  <si>
    <t>Reeds verrekend:</t>
  </si>
  <si>
    <t>Als de klant een wijziging van de heffingskortingen heeft, kan het zijn</t>
  </si>
  <si>
    <t>dat in de loop van het jaar al een deel is gekort. De reeds gekorte</t>
  </si>
  <si>
    <t>bedragen vult u hier in. Op het blad Verrekening kunt u dan zien hoeveel</t>
  </si>
  <si>
    <t>er nog gekort moet worden of eventueel nabetaald.</t>
  </si>
  <si>
    <t>Ingave:</t>
  </si>
  <si>
    <t>Bovenstaande gegevens vult u in op het tabblad ingave.</t>
  </si>
  <si>
    <t>VT cliënt:</t>
  </si>
  <si>
    <t>Op dit tabblad kunt u het resultaat zien van de voorlopige aanslag</t>
  </si>
  <si>
    <t>van de cliënt.</t>
  </si>
  <si>
    <t>VT partner:</t>
  </si>
  <si>
    <t>Als er een partner aanwezig is, kunt u hier de eventuele voorlopige</t>
  </si>
  <si>
    <t>aanslag van de partner bekijken. Bijv. AHK minstverdienende partner</t>
  </si>
  <si>
    <t>of eventueel de inkomensafhankelijke combinatiekorting.</t>
  </si>
  <si>
    <t>Verrekening:</t>
  </si>
  <si>
    <t>Op dit tabblad ziet u wat eventueel op de uitkering gekort moet worden,</t>
  </si>
  <si>
    <t>maar ook een eventuele vrijlating is hier af te lezen.</t>
  </si>
  <si>
    <t>Afbouwregeling AHKMVP</t>
  </si>
  <si>
    <t>AHKMVP</t>
  </si>
  <si>
    <t>Geb jaar kind</t>
  </si>
  <si>
    <t>Geb jaar partner</t>
  </si>
  <si>
    <t>0=nee 1=ja</t>
  </si>
  <si>
    <t>Kalenderjaar</t>
  </si>
  <si>
    <t>Kind</t>
  </si>
  <si>
    <t>Als C34 =1</t>
  </si>
  <si>
    <t>Meer</t>
  </si>
  <si>
    <t>Samen IACK</t>
  </si>
  <si>
    <t>Meerdere</t>
  </si>
  <si>
    <t>Afgerond</t>
  </si>
  <si>
    <t>Te ontv partner</t>
  </si>
  <si>
    <t>Nog te verrekenen:</t>
  </si>
  <si>
    <t>Aantal nog te bet. uitkeringen</t>
  </si>
  <si>
    <t>Geboortedatum jongste kind &lt;18 jr</t>
  </si>
  <si>
    <t>Meerderjarig</t>
  </si>
  <si>
    <t>Afb reg geb tussen 1-1-63</t>
  </si>
  <si>
    <t>Algemene Heffingskorting MVP</t>
  </si>
  <si>
    <t>Geb. na</t>
  </si>
  <si>
    <t>Geb voor 1-1-63</t>
  </si>
  <si>
    <t>Tussen 1-1-63 en 1-1-72</t>
  </si>
  <si>
    <t>Geboortejaar</t>
  </si>
  <si>
    <t>(incl. afbouw)</t>
  </si>
  <si>
    <t>dan wordt er vanuit gegaan dat het kind langer dan 6 maanden bij betrokkene</t>
  </si>
  <si>
    <t>op het adres ingeschreven staat.</t>
  </si>
  <si>
    <t>Aantal meerderjarige kinderen:</t>
  </si>
  <si>
    <t>Vul hier het aantal meerderjarige kinderen van het gezin in.</t>
  </si>
  <si>
    <t>Er zijn maximaal 4 uitkeringsperioden mogelijk. Vul de velden</t>
  </si>
  <si>
    <t>Om aan te geven bij welke inkomsten de AHK is benut, vult u</t>
  </si>
  <si>
    <t>Per maand te verrekenen</t>
  </si>
  <si>
    <t xml:space="preserve">AHKMVP </t>
  </si>
  <si>
    <t>0=nee  1=ja</t>
  </si>
  <si>
    <t>PARTNER</t>
  </si>
  <si>
    <t>CLIËNT</t>
  </si>
  <si>
    <t>Loonheffing partner</t>
  </si>
  <si>
    <t>Voorlopige teruggave partner</t>
  </si>
  <si>
    <t>Saldo loonheffing partner</t>
  </si>
  <si>
    <t>Aantal nog te betalen maanden:</t>
  </si>
  <si>
    <t>Werkbonus</t>
  </si>
  <si>
    <t>max ink</t>
  </si>
  <si>
    <t>ink</t>
  </si>
  <si>
    <t>te veel</t>
  </si>
  <si>
    <t>Na afbouw</t>
  </si>
  <si>
    <t>Participatiewet</t>
  </si>
  <si>
    <t>Vul hier de netto PW uitkering van de totale uitkeringsperiode(n) in.</t>
  </si>
  <si>
    <t>Jongehandicaptenkorting partner</t>
  </si>
  <si>
    <t>Zvw percentage</t>
  </si>
  <si>
    <t>AOW leeftijd</t>
  </si>
  <si>
    <t>Vandaag</t>
  </si>
  <si>
    <t>Wyzer</t>
  </si>
  <si>
    <t>©Wyzer Academie</t>
  </si>
  <si>
    <r>
      <t xml:space="preserve">Te ontvangen via </t>
    </r>
    <r>
      <rPr>
        <b/>
        <sz val="9"/>
        <color rgb="FF002060"/>
        <rFont val="Calibri"/>
        <family val="2"/>
        <scheme val="minor"/>
      </rPr>
      <t>Voorlopige teruggaaf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</si>
</sst>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 &quot;€&quot;\ * #,##0.00_ ;_ &quot;€&quot;\ * \-#,##0.00_ ;_ &quot;€&quot;\ * &quot;-&quot;??_ ;_ @_ "/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0.000%"/>
    <numFmt numFmtId="167" formatCode="#,##0_ ;\-#,##0\ "/>
    <numFmt numFmtId="168" formatCode="#,##0.00_ ;\-#,##0.00\ "/>
    <numFmt numFmtId="169" formatCode="#,##0.00_ ;[Red]\-#,##0.00\ "/>
    <numFmt numFmtId="170" formatCode="&quot;€&quot;\ #,##0.00_-"/>
    <numFmt numFmtId="171" formatCode="d/m"/>
    <numFmt numFmtId="172" formatCode="dd/mm/yyyy"/>
    <numFmt numFmtId="173" formatCode="0_ ;\-0\ "/>
    <numFmt numFmtId="175" formatCode="dd/mm"/>
    <numFmt numFmtId="178" formatCode="dd/dm/yyyy"/>
    <numFmt numFmtId="179" formatCode="dd/md/yyyy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1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i/>
      <sz val="15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u val="singleAccounting"/>
      <sz val="9"/>
      <color rgb="FF002060"/>
      <name val="Calibri"/>
      <family val="2"/>
      <scheme val="minor"/>
    </font>
    <font>
      <b/>
      <u val="double"/>
      <sz val="9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002060"/>
      <name val="Calibri"/>
      <family val="2"/>
    </font>
    <font>
      <b/>
      <sz val="14"/>
      <color rgb="FF7030A0"/>
      <name val="Calibri"/>
      <family val="2"/>
    </font>
    <font>
      <sz val="11"/>
      <color rgb="FF7030A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20"/>
      <color rgb="FF87418C"/>
      <name val="Calibri"/>
      <family val="2"/>
      <scheme val="minor"/>
    </font>
    <font>
      <b/>
      <sz val="9"/>
      <color rgb="FF87418C"/>
      <name val="Calibri"/>
      <family val="2"/>
      <scheme val="minor"/>
    </font>
    <font>
      <b/>
      <sz val="11"/>
      <color rgb="FF87418C"/>
      <name val="Calibri"/>
      <family val="2"/>
      <scheme val="minor"/>
    </font>
    <font>
      <b/>
      <sz val="24"/>
      <color rgb="FF87418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79">
    <xf numFmtId="0" fontId="0" fillId="0" borderId="0" xfId="0"/>
    <xf numFmtId="14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0" fontId="3" fillId="0" borderId="0" xfId="0" applyNumberFormat="1" applyFont="1"/>
    <xf numFmtId="167" fontId="3" fillId="0" borderId="0" xfId="0" applyNumberFormat="1" applyFont="1"/>
    <xf numFmtId="164" fontId="3" fillId="0" borderId="0" xfId="0" applyNumberFormat="1" applyFont="1"/>
    <xf numFmtId="44" fontId="3" fillId="0" borderId="0" xfId="0" applyNumberFormat="1" applyFont="1"/>
    <xf numFmtId="9" fontId="3" fillId="0" borderId="0" xfId="0" applyNumberFormat="1" applyFont="1"/>
    <xf numFmtId="166" fontId="3" fillId="0" borderId="0" xfId="0" applyNumberFormat="1" applyFont="1"/>
    <xf numFmtId="165" fontId="3" fillId="0" borderId="0" xfId="2" applyNumberFormat="1" applyFont="1"/>
    <xf numFmtId="165" fontId="3" fillId="0" borderId="13" xfId="2" applyNumberFormat="1" applyFont="1" applyBorder="1"/>
    <xf numFmtId="10" fontId="3" fillId="0" borderId="0" xfId="2" applyNumberFormat="1" applyFont="1"/>
    <xf numFmtId="0" fontId="7" fillId="2" borderId="0" xfId="0" applyFont="1" applyFill="1"/>
    <xf numFmtId="165" fontId="8" fillId="2" borderId="0" xfId="2" applyNumberFormat="1" applyFont="1" applyFill="1"/>
    <xf numFmtId="0" fontId="10" fillId="2" borderId="0" xfId="0" applyFont="1" applyFill="1"/>
    <xf numFmtId="49" fontId="7" fillId="3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/>
    <xf numFmtId="172" fontId="7" fillId="3" borderId="1" xfId="0" applyNumberFormat="1" applyFont="1" applyFill="1" applyBorder="1" applyAlignment="1" applyProtection="1">
      <alignment horizontal="center"/>
      <protection locked="0"/>
    </xf>
    <xf numFmtId="16" fontId="7" fillId="2" borderId="0" xfId="0" applyNumberFormat="1" applyFont="1" applyFill="1" applyAlignment="1">
      <alignment horizontal="center"/>
    </xf>
    <xf numFmtId="175" fontId="7" fillId="3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4" fontId="7" fillId="3" borderId="1" xfId="0" applyNumberFormat="1" applyFont="1" applyFill="1" applyBorder="1" applyProtection="1">
      <protection locked="0"/>
    </xf>
    <xf numFmtId="14" fontId="11" fillId="3" borderId="1" xfId="0" applyNumberFormat="1" applyFont="1" applyFill="1" applyBorder="1" applyProtection="1">
      <protection locked="0"/>
    </xf>
    <xf numFmtId="0" fontId="12" fillId="2" borderId="0" xfId="0" applyFont="1" applyFill="1"/>
    <xf numFmtId="0" fontId="10" fillId="2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5" fontId="13" fillId="2" borderId="0" xfId="2" applyNumberFormat="1" applyFont="1" applyFill="1"/>
    <xf numFmtId="0" fontId="14" fillId="2" borderId="0" xfId="0" applyFont="1" applyFill="1" applyAlignment="1">
      <alignment wrapText="1"/>
    </xf>
    <xf numFmtId="0" fontId="14" fillId="2" borderId="0" xfId="0" applyFont="1" applyFill="1"/>
    <xf numFmtId="165" fontId="7" fillId="3" borderId="1" xfId="0" applyNumberFormat="1" applyFont="1" applyFill="1" applyBorder="1" applyProtection="1">
      <protection locked="0"/>
    </xf>
    <xf numFmtId="165" fontId="7" fillId="3" borderId="3" xfId="0" applyNumberFormat="1" applyFont="1" applyFill="1" applyBorder="1"/>
    <xf numFmtId="165" fontId="7" fillId="3" borderId="4" xfId="0" applyNumberFormat="1" applyFont="1" applyFill="1" applyBorder="1"/>
    <xf numFmtId="165" fontId="7" fillId="3" borderId="2" xfId="0" applyNumberFormat="1" applyFont="1" applyFill="1" applyBorder="1"/>
    <xf numFmtId="0" fontId="7" fillId="3" borderId="1" xfId="0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Protection="1">
      <protection locked="0"/>
    </xf>
    <xf numFmtId="0" fontId="8" fillId="2" borderId="0" xfId="0" applyFont="1" applyFill="1"/>
    <xf numFmtId="2" fontId="8" fillId="2" borderId="0" xfId="0" applyNumberFormat="1" applyFont="1" applyFill="1"/>
    <xf numFmtId="165" fontId="8" fillId="2" borderId="15" xfId="2" applyNumberFormat="1" applyFont="1" applyFill="1" applyBorder="1" applyAlignment="1">
      <alignment horizontal="left"/>
    </xf>
    <xf numFmtId="165" fontId="8" fillId="2" borderId="16" xfId="2" applyNumberFormat="1" applyFont="1" applyFill="1" applyBorder="1" applyAlignment="1">
      <alignment horizontal="left"/>
    </xf>
    <xf numFmtId="165" fontId="8" fillId="2" borderId="1" xfId="2" applyNumberFormat="1" applyFont="1" applyFill="1" applyBorder="1"/>
    <xf numFmtId="0" fontId="8" fillId="2" borderId="0" xfId="2" applyFont="1" applyFill="1"/>
    <xf numFmtId="1" fontId="8" fillId="2" borderId="0" xfId="2" applyNumberFormat="1" applyFont="1" applyFill="1"/>
    <xf numFmtId="10" fontId="8" fillId="2" borderId="0" xfId="2" applyNumberFormat="1" applyFont="1" applyFill="1"/>
    <xf numFmtId="165" fontId="8" fillId="2" borderId="5" xfId="2" applyNumberFormat="1" applyFont="1" applyFill="1" applyBorder="1"/>
    <xf numFmtId="165" fontId="15" fillId="2" borderId="6" xfId="2" applyNumberFormat="1" applyFont="1" applyFill="1" applyBorder="1"/>
    <xf numFmtId="165" fontId="8" fillId="2" borderId="7" xfId="2" applyNumberFormat="1" applyFont="1" applyFill="1" applyBorder="1"/>
    <xf numFmtId="165" fontId="8" fillId="2" borderId="8" xfId="2" applyNumberFormat="1" applyFont="1" applyFill="1" applyBorder="1"/>
    <xf numFmtId="165" fontId="8" fillId="2" borderId="9" xfId="2" applyNumberFormat="1" applyFont="1" applyFill="1" applyBorder="1"/>
    <xf numFmtId="165" fontId="8" fillId="2" borderId="10" xfId="2" applyNumberFormat="1" applyFont="1" applyFill="1" applyBorder="1"/>
    <xf numFmtId="165" fontId="8" fillId="2" borderId="11" xfId="2" applyNumberFormat="1" applyFont="1" applyFill="1" applyBorder="1"/>
    <xf numFmtId="165" fontId="8" fillId="2" borderId="12" xfId="2" applyNumberFormat="1" applyFont="1" applyFill="1" applyBorder="1"/>
    <xf numFmtId="0" fontId="8" fillId="2" borderId="13" xfId="2" applyFont="1" applyFill="1" applyBorder="1"/>
    <xf numFmtId="165" fontId="8" fillId="2" borderId="13" xfId="2" applyNumberFormat="1" applyFont="1" applyFill="1" applyBorder="1"/>
    <xf numFmtId="165" fontId="15" fillId="2" borderId="5" xfId="2" applyNumberFormat="1" applyFont="1" applyFill="1" applyBorder="1"/>
    <xf numFmtId="165" fontId="14" fillId="2" borderId="0" xfId="2" applyNumberFormat="1" applyFont="1" applyFill="1"/>
    <xf numFmtId="165" fontId="16" fillId="2" borderId="0" xfId="2" applyNumberFormat="1" applyFont="1" applyFill="1"/>
    <xf numFmtId="165" fontId="17" fillId="2" borderId="0" xfId="2" applyNumberFormat="1" applyFont="1" applyFill="1"/>
    <xf numFmtId="49" fontId="18" fillId="2" borderId="0" xfId="2" applyNumberFormat="1" applyFont="1" applyFill="1"/>
    <xf numFmtId="165" fontId="18" fillId="2" borderId="0" xfId="2" applyNumberFormat="1" applyFont="1" applyFill="1"/>
    <xf numFmtId="165" fontId="19" fillId="2" borderId="0" xfId="2" applyNumberFormat="1" applyFont="1" applyFill="1"/>
    <xf numFmtId="172" fontId="7" fillId="3" borderId="36" xfId="0" applyNumberFormat="1" applyFont="1" applyFill="1" applyBorder="1" applyAlignment="1" applyProtection="1">
      <alignment horizontal="center"/>
      <protection locked="0"/>
    </xf>
    <xf numFmtId="173" fontId="7" fillId="2" borderId="13" xfId="2" applyNumberFormat="1" applyFont="1" applyFill="1" applyBorder="1"/>
    <xf numFmtId="0" fontId="8" fillId="2" borderId="17" xfId="2" applyFont="1" applyFill="1" applyBorder="1" applyAlignment="1">
      <alignment horizontal="left"/>
    </xf>
    <xf numFmtId="0" fontId="8" fillId="2" borderId="15" xfId="2" applyFont="1" applyFill="1" applyBorder="1" applyAlignment="1">
      <alignment horizontal="left"/>
    </xf>
    <xf numFmtId="165" fontId="8" fillId="2" borderId="14" xfId="2" applyNumberFormat="1" applyFont="1" applyFill="1" applyBorder="1"/>
    <xf numFmtId="0" fontId="8" fillId="2" borderId="13" xfId="0" applyFont="1" applyFill="1" applyBorder="1"/>
    <xf numFmtId="165" fontId="15" fillId="2" borderId="0" xfId="2" applyNumberFormat="1" applyFont="1" applyFill="1"/>
    <xf numFmtId="0" fontId="21" fillId="2" borderId="0" xfId="0" applyFont="1" applyFill="1"/>
    <xf numFmtId="0" fontId="7" fillId="2" borderId="0" xfId="0" applyFont="1" applyFill="1" applyAlignment="1">
      <alignment horizontal="right"/>
    </xf>
    <xf numFmtId="0" fontId="22" fillId="2" borderId="0" xfId="0" applyFont="1" applyFill="1"/>
    <xf numFmtId="0" fontId="23" fillId="2" borderId="0" xfId="0" applyFont="1" applyFill="1"/>
    <xf numFmtId="49" fontId="24" fillId="2" borderId="0" xfId="0" applyNumberFormat="1" applyFont="1" applyFill="1"/>
    <xf numFmtId="0" fontId="25" fillId="2" borderId="0" xfId="0" applyFont="1" applyFill="1"/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171" fontId="7" fillId="2" borderId="0" xfId="0" applyNumberFormat="1" applyFont="1" applyFill="1"/>
    <xf numFmtId="172" fontId="7" fillId="2" borderId="0" xfId="0" applyNumberFormat="1" applyFont="1" applyFill="1" applyAlignment="1">
      <alignment horizontal="center"/>
    </xf>
    <xf numFmtId="175" fontId="7" fillId="2" borderId="0" xfId="0" applyNumberFormat="1" applyFont="1" applyFill="1" applyAlignment="1">
      <alignment horizontal="center"/>
    </xf>
    <xf numFmtId="49" fontId="7" fillId="2" borderId="1" xfId="0" applyNumberFormat="1" applyFont="1" applyFill="1" applyBorder="1"/>
    <xf numFmtId="0" fontId="26" fillId="2" borderId="0" xfId="0" applyFont="1" applyFill="1"/>
    <xf numFmtId="2" fontId="13" fillId="2" borderId="17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68" fontId="7" fillId="2" borderId="18" xfId="0" applyNumberFormat="1" applyFont="1" applyFill="1" applyBorder="1"/>
    <xf numFmtId="168" fontId="7" fillId="2" borderId="2" xfId="0" applyNumberFormat="1" applyFont="1" applyFill="1" applyBorder="1"/>
    <xf numFmtId="168" fontId="7" fillId="2" borderId="19" xfId="0" applyNumberFormat="1" applyFont="1" applyFill="1" applyBorder="1"/>
    <xf numFmtId="168" fontId="7" fillId="2" borderId="20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2" fontId="8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center"/>
    </xf>
    <xf numFmtId="2" fontId="8" fillId="2" borderId="2" xfId="0" applyNumberFormat="1" applyFont="1" applyFill="1" applyBorder="1"/>
    <xf numFmtId="165" fontId="8" fillId="2" borderId="1" xfId="0" applyNumberFormat="1" applyFont="1" applyFill="1" applyBorder="1"/>
    <xf numFmtId="2" fontId="8" fillId="2" borderId="20" xfId="0" applyNumberFormat="1" applyFont="1" applyFill="1" applyBorder="1"/>
    <xf numFmtId="165" fontId="8" fillId="2" borderId="2" xfId="0" applyNumberFormat="1" applyFont="1" applyFill="1" applyBorder="1"/>
    <xf numFmtId="2" fontId="8" fillId="2" borderId="23" xfId="0" applyNumberFormat="1" applyFont="1" applyFill="1" applyBorder="1"/>
    <xf numFmtId="165" fontId="8" fillId="2" borderId="23" xfId="0" applyNumberFormat="1" applyFont="1" applyFill="1" applyBorder="1"/>
    <xf numFmtId="0" fontId="8" fillId="2" borderId="1" xfId="0" applyFont="1" applyFill="1" applyBorder="1"/>
    <xf numFmtId="165" fontId="8" fillId="2" borderId="1" xfId="2" applyNumberFormat="1" applyFont="1" applyFill="1" applyBorder="1" applyAlignment="1">
      <alignment horizontal="center"/>
    </xf>
    <xf numFmtId="165" fontId="8" fillId="2" borderId="2" xfId="2" applyNumberFormat="1" applyFont="1" applyFill="1" applyBorder="1"/>
    <xf numFmtId="165" fontId="8" fillId="2" borderId="20" xfId="2" applyNumberFormat="1" applyFont="1" applyFill="1" applyBorder="1"/>
    <xf numFmtId="165" fontId="8" fillId="2" borderId="23" xfId="2" applyNumberFormat="1" applyFont="1" applyFill="1" applyBorder="1"/>
    <xf numFmtId="165" fontId="13" fillId="2" borderId="1" xfId="2" applyNumberFormat="1" applyFont="1" applyFill="1" applyBorder="1"/>
    <xf numFmtId="165" fontId="8" fillId="0" borderId="1" xfId="2" applyNumberFormat="1" applyFont="1" applyBorder="1"/>
    <xf numFmtId="169" fontId="8" fillId="2" borderId="1" xfId="2" applyNumberFormat="1" applyFont="1" applyFill="1" applyBorder="1"/>
    <xf numFmtId="165" fontId="7" fillId="2" borderId="0" xfId="0" applyNumberFormat="1" applyFont="1" applyFill="1"/>
    <xf numFmtId="170" fontId="7" fillId="2" borderId="0" xfId="0" applyNumberFormat="1" applyFont="1" applyFill="1"/>
    <xf numFmtId="0" fontId="14" fillId="2" borderId="0" xfId="0" applyFont="1" applyFill="1" applyAlignment="1">
      <alignment vertical="top"/>
    </xf>
    <xf numFmtId="165" fontId="28" fillId="2" borderId="1" xfId="2" applyNumberFormat="1" applyFont="1" applyFill="1" applyBorder="1"/>
    <xf numFmtId="165" fontId="29" fillId="2" borderId="1" xfId="2" applyNumberFormat="1" applyFont="1" applyFill="1" applyBorder="1"/>
    <xf numFmtId="0" fontId="14" fillId="2" borderId="0" xfId="0" applyFont="1" applyFill="1" applyAlignment="1">
      <alignment horizontal="left" wrapText="1"/>
    </xf>
    <xf numFmtId="165" fontId="20" fillId="2" borderId="17" xfId="2" applyNumberFormat="1" applyFont="1" applyFill="1" applyBorder="1" applyAlignment="1">
      <alignment horizontal="center"/>
    </xf>
    <xf numFmtId="165" fontId="20" fillId="2" borderId="15" xfId="2" applyNumberFormat="1" applyFont="1" applyFill="1" applyBorder="1" applyAlignment="1">
      <alignment horizontal="center"/>
    </xf>
    <xf numFmtId="165" fontId="20" fillId="2" borderId="16" xfId="2" applyNumberFormat="1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left"/>
    </xf>
    <xf numFmtId="49" fontId="9" fillId="2" borderId="16" xfId="0" applyNumberFormat="1" applyFont="1" applyFill="1" applyBorder="1" applyAlignment="1">
      <alignment horizontal="left"/>
    </xf>
    <xf numFmtId="49" fontId="7" fillId="3" borderId="17" xfId="0" applyNumberFormat="1" applyFont="1" applyFill="1" applyBorder="1" applyAlignment="1" applyProtection="1">
      <alignment horizontal="left"/>
      <protection locked="0"/>
    </xf>
    <xf numFmtId="49" fontId="7" fillId="3" borderId="15" xfId="0" applyNumberFormat="1" applyFont="1" applyFill="1" applyBorder="1" applyAlignment="1" applyProtection="1">
      <alignment horizontal="left"/>
      <protection locked="0"/>
    </xf>
    <xf numFmtId="49" fontId="7" fillId="3" borderId="16" xfId="0" applyNumberFormat="1" applyFont="1" applyFill="1" applyBorder="1" applyAlignment="1" applyProtection="1">
      <alignment horizontal="left"/>
      <protection locked="0"/>
    </xf>
    <xf numFmtId="49" fontId="9" fillId="3" borderId="17" xfId="0" applyNumberFormat="1" applyFont="1" applyFill="1" applyBorder="1" applyAlignment="1" applyProtection="1">
      <alignment horizontal="left"/>
      <protection locked="0"/>
    </xf>
    <xf numFmtId="49" fontId="9" fillId="3" borderId="15" xfId="0" applyNumberFormat="1" applyFont="1" applyFill="1" applyBorder="1" applyAlignment="1" applyProtection="1">
      <alignment horizontal="left"/>
      <protection locked="0"/>
    </xf>
    <xf numFmtId="49" fontId="9" fillId="3" borderId="16" xfId="0" applyNumberFormat="1" applyFont="1" applyFill="1" applyBorder="1" applyAlignment="1" applyProtection="1">
      <alignment horizontal="left"/>
      <protection locked="0"/>
    </xf>
    <xf numFmtId="165" fontId="8" fillId="2" borderId="0" xfId="2" applyNumberFormat="1" applyFont="1" applyFill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2" borderId="35" xfId="0" applyFont="1" applyFill="1" applyBorder="1" applyAlignment="1">
      <alignment horizontal="center"/>
    </xf>
    <xf numFmtId="165" fontId="8" fillId="2" borderId="0" xfId="2" applyNumberFormat="1" applyFont="1" applyFill="1" applyAlignment="1">
      <alignment horizontal="left"/>
    </xf>
    <xf numFmtId="165" fontId="8" fillId="2" borderId="17" xfId="2" applyNumberFormat="1" applyFont="1" applyFill="1" applyBorder="1" applyAlignment="1">
      <alignment horizontal="left"/>
    </xf>
    <xf numFmtId="165" fontId="8" fillId="2" borderId="15" xfId="2" applyNumberFormat="1" applyFont="1" applyFill="1" applyBorder="1" applyAlignment="1">
      <alignment horizontal="left"/>
    </xf>
    <xf numFmtId="165" fontId="8" fillId="2" borderId="16" xfId="2" applyNumberFormat="1" applyFont="1" applyFill="1" applyBorder="1" applyAlignment="1">
      <alignment horizontal="left"/>
    </xf>
    <xf numFmtId="49" fontId="7" fillId="2" borderId="17" xfId="0" applyNumberFormat="1" applyFont="1" applyFill="1" applyBorder="1" applyAlignment="1">
      <alignment horizontal="left"/>
    </xf>
    <xf numFmtId="49" fontId="7" fillId="2" borderId="15" xfId="0" applyNumberFormat="1" applyFont="1" applyFill="1" applyBorder="1" applyAlignment="1">
      <alignment horizontal="left"/>
    </xf>
    <xf numFmtId="49" fontId="7" fillId="2" borderId="16" xfId="0" applyNumberFormat="1" applyFont="1" applyFill="1" applyBorder="1" applyAlignment="1">
      <alignment horizontal="left"/>
    </xf>
    <xf numFmtId="165" fontId="3" fillId="0" borderId="0" xfId="2" applyNumberFormat="1" applyFont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6" fillId="0" borderId="0" xfId="3" applyFont="1" applyFill="1"/>
    <xf numFmtId="0" fontId="6" fillId="0" borderId="0" xfId="3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/>
    <xf numFmtId="0" fontId="4" fillId="0" borderId="3" xfId="0" applyFont="1" applyFill="1" applyBorder="1" applyAlignment="1">
      <alignment horizontal="center"/>
    </xf>
    <xf numFmtId="165" fontId="6" fillId="0" borderId="0" xfId="0" applyNumberFormat="1" applyFont="1" applyFill="1"/>
    <xf numFmtId="10" fontId="6" fillId="0" borderId="29" xfId="0" applyNumberFormat="1" applyFont="1" applyFill="1" applyBorder="1"/>
    <xf numFmtId="165" fontId="6" fillId="0" borderId="31" xfId="0" applyNumberFormat="1" applyFont="1" applyFill="1" applyBorder="1"/>
    <xf numFmtId="165" fontId="6" fillId="0" borderId="30" xfId="0" applyNumberFormat="1" applyFont="1" applyFill="1" applyBorder="1"/>
    <xf numFmtId="166" fontId="6" fillId="0" borderId="30" xfId="0" applyNumberFormat="1" applyFont="1" applyFill="1" applyBorder="1"/>
    <xf numFmtId="0" fontId="6" fillId="0" borderId="0" xfId="0" applyFont="1" applyFill="1"/>
    <xf numFmtId="165" fontId="6" fillId="0" borderId="32" xfId="0" applyNumberFormat="1" applyFont="1" applyFill="1" applyBorder="1"/>
    <xf numFmtId="0" fontId="6" fillId="0" borderId="30" xfId="0" applyFont="1" applyFill="1" applyBorder="1"/>
    <xf numFmtId="166" fontId="4" fillId="0" borderId="0" xfId="0" applyNumberFormat="1" applyFont="1" applyFill="1"/>
    <xf numFmtId="2" fontId="4" fillId="0" borderId="0" xfId="0" applyNumberFormat="1" applyFont="1" applyFill="1"/>
    <xf numFmtId="10" fontId="4" fillId="0" borderId="0" xfId="0" applyNumberFormat="1" applyFont="1" applyFill="1"/>
    <xf numFmtId="14" fontId="4" fillId="0" borderId="0" xfId="0" applyNumberFormat="1" applyFont="1" applyFill="1"/>
    <xf numFmtId="0" fontId="4" fillId="4" borderId="0" xfId="0" applyFont="1" applyFill="1"/>
    <xf numFmtId="10" fontId="6" fillId="4" borderId="25" xfId="1" applyNumberFormat="1" applyFont="1" applyFill="1" applyBorder="1"/>
    <xf numFmtId="10" fontId="6" fillId="4" borderId="26" xfId="3" applyNumberFormat="1" applyFont="1" applyFill="1" applyBorder="1"/>
    <xf numFmtId="10" fontId="6" fillId="4" borderId="1" xfId="1" applyNumberFormat="1" applyFont="1" applyFill="1" applyBorder="1"/>
    <xf numFmtId="10" fontId="6" fillId="4" borderId="28" xfId="3" applyNumberFormat="1" applyFont="1" applyFill="1" applyBorder="1"/>
    <xf numFmtId="10" fontId="6" fillId="4" borderId="30" xfId="0" applyNumberFormat="1" applyFont="1" applyFill="1" applyBorder="1"/>
    <xf numFmtId="165" fontId="6" fillId="4" borderId="31" xfId="0" applyNumberFormat="1" applyFont="1" applyFill="1" applyBorder="1"/>
    <xf numFmtId="165" fontId="6" fillId="4" borderId="24" xfId="3" applyNumberFormat="1" applyFont="1" applyFill="1" applyBorder="1"/>
    <xf numFmtId="2" fontId="11" fillId="4" borderId="37" xfId="0" applyNumberFormat="1" applyFont="1" applyFill="1" applyBorder="1" applyProtection="1">
      <protection locked="0"/>
    </xf>
    <xf numFmtId="165" fontId="6" fillId="4" borderId="27" xfId="3" applyNumberFormat="1" applyFont="1" applyFill="1" applyBorder="1"/>
    <xf numFmtId="165" fontId="6" fillId="4" borderId="1" xfId="3" applyNumberFormat="1" applyFont="1" applyFill="1" applyBorder="1"/>
    <xf numFmtId="166" fontId="4" fillId="4" borderId="0" xfId="0" applyNumberFormat="1" applyFont="1" applyFill="1"/>
    <xf numFmtId="2" fontId="4" fillId="4" borderId="0" xfId="0" applyNumberFormat="1" applyFont="1" applyFill="1"/>
    <xf numFmtId="2" fontId="11" fillId="4" borderId="20" xfId="0" applyNumberFormat="1" applyFont="1" applyFill="1" applyBorder="1" applyProtection="1">
      <protection locked="0"/>
    </xf>
    <xf numFmtId="178" fontId="7" fillId="3" borderId="1" xfId="0" applyNumberFormat="1" applyFont="1" applyFill="1" applyBorder="1" applyAlignment="1" applyProtection="1">
      <alignment horizontal="center"/>
      <protection locked="0"/>
    </xf>
    <xf numFmtId="178" fontId="7" fillId="2" borderId="0" xfId="0" applyNumberFormat="1" applyFont="1" applyFill="1" applyAlignment="1">
      <alignment horizontal="center"/>
    </xf>
    <xf numFmtId="179" fontId="7" fillId="2" borderId="0" xfId="0" applyNumberFormat="1" applyFont="1" applyFill="1" applyAlignment="1">
      <alignment horizontal="center"/>
    </xf>
    <xf numFmtId="1" fontId="7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Procent 3" xfId="1" xr:uid="{00000000-0005-0000-0000-000000000000}"/>
    <cellStyle name="Standaard" xfId="0" builtinId="0"/>
    <cellStyle name="Standaard 2" xfId="2" xr:uid="{00000000-0005-0000-0000-000002000000}"/>
    <cellStyle name="Standaard 3" xfId="3" xr:uid="{00000000-0005-0000-0000-000003000000}"/>
  </cellStyles>
  <dxfs count="0"/>
  <tableStyles count="0" defaultTableStyle="TableStyleMedium9" defaultPivotStyle="PivotStyleLight16"/>
  <colors>
    <mruColors>
      <color rgb="FF87418C"/>
      <color rgb="FF8C23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142875</xdr:rowOff>
    </xdr:from>
    <xdr:to>
      <xdr:col>1</xdr:col>
      <xdr:colOff>2394428</xdr:colOff>
      <xdr:row>0</xdr:row>
      <xdr:rowOff>801300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78FD5F-2547-C839-3A58-CFA099CD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325" y="142875"/>
          <a:ext cx="2584928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55563</xdr:rowOff>
    </xdr:from>
    <xdr:to>
      <xdr:col>6</xdr:col>
      <xdr:colOff>93213</xdr:colOff>
      <xdr:row>0</xdr:row>
      <xdr:rowOff>711146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AE46C94-EFBC-49FF-8713-2459F6E5C9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1849438" y="55563"/>
          <a:ext cx="2585588" cy="655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624840</xdr:colOff>
      <xdr:row>0</xdr:row>
      <xdr:rowOff>0</xdr:rowOff>
    </xdr:from>
    <xdr:to>
      <xdr:col>6</xdr:col>
      <xdr:colOff>421508</xdr:colOff>
      <xdr:row>0</xdr:row>
      <xdr:rowOff>655583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76306E8-7052-48C8-8800-294BF2B5E0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1905000" y="0"/>
          <a:ext cx="2585588" cy="6555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848228</xdr:colOff>
      <xdr:row>0</xdr:row>
      <xdr:rowOff>655583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8599BD7-2BE8-44D1-A673-39F8460C4F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2202180" y="0"/>
          <a:ext cx="2585588" cy="6555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510540</xdr:colOff>
      <xdr:row>0</xdr:row>
      <xdr:rowOff>0</xdr:rowOff>
    </xdr:from>
    <xdr:to>
      <xdr:col>6</xdr:col>
      <xdr:colOff>413888</xdr:colOff>
      <xdr:row>0</xdr:row>
      <xdr:rowOff>655583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3C30CCD-5716-4A2A-AB4E-8B36B2EB17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2" r="3642" b="28169"/>
        <a:stretch/>
      </xdr:blipFill>
      <xdr:spPr>
        <a:xfrm>
          <a:off x="1691640" y="0"/>
          <a:ext cx="2585588" cy="655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1"/>
  <dimension ref="A1:B67"/>
  <sheetViews>
    <sheetView showGridLines="0" tabSelected="1" topLeftCell="A18" workbookViewId="0">
      <selection activeCell="A2" sqref="A2:B2"/>
    </sheetView>
  </sheetViews>
  <sheetFormatPr defaultRowHeight="15" x14ac:dyDescent="0.25"/>
  <cols>
    <col min="1" max="1" width="19" style="16" customWidth="1"/>
    <col min="2" max="2" width="65.85546875" style="16" bestFit="1" customWidth="1"/>
    <col min="3" max="16384" width="9.140625" style="16"/>
  </cols>
  <sheetData>
    <row r="1" spans="1:2" ht="71.25" customHeight="1" x14ac:dyDescent="0.25"/>
    <row r="2" spans="1:2" ht="18.75" x14ac:dyDescent="0.3">
      <c r="A2" s="74" t="str">
        <f>"Schatting Voorlopige aanslag "&amp;Gegevens!A2</f>
        <v>Schatting Voorlopige aanslag 2023</v>
      </c>
      <c r="B2" s="75"/>
    </row>
    <row r="4" spans="1:2" x14ac:dyDescent="0.25">
      <c r="A4" s="16" t="s">
        <v>197</v>
      </c>
    </row>
    <row r="5" spans="1:2" x14ac:dyDescent="0.25">
      <c r="A5" s="16" t="s">
        <v>198</v>
      </c>
    </row>
    <row r="6" spans="1:2" x14ac:dyDescent="0.25">
      <c r="A6" s="16" t="s">
        <v>199</v>
      </c>
    </row>
    <row r="7" spans="1:2" x14ac:dyDescent="0.25">
      <c r="A7" s="16" t="s">
        <v>261</v>
      </c>
    </row>
    <row r="8" spans="1:2" x14ac:dyDescent="0.25">
      <c r="A8" s="16" t="s">
        <v>262</v>
      </c>
    </row>
    <row r="10" spans="1:2" x14ac:dyDescent="0.25">
      <c r="A10" s="16" t="s">
        <v>204</v>
      </c>
    </row>
    <row r="11" spans="1:2" x14ac:dyDescent="0.25">
      <c r="A11" s="16" t="s">
        <v>205</v>
      </c>
    </row>
    <row r="13" spans="1:2" x14ac:dyDescent="0.25">
      <c r="A13" s="72" t="s">
        <v>55</v>
      </c>
      <c r="B13" s="16" t="s">
        <v>188</v>
      </c>
    </row>
    <row r="15" spans="1:2" x14ac:dyDescent="0.25">
      <c r="A15" s="72" t="s">
        <v>189</v>
      </c>
      <c r="B15" s="16" t="s">
        <v>190</v>
      </c>
    </row>
    <row r="17" spans="1:2" x14ac:dyDescent="0.25">
      <c r="A17" s="72" t="s">
        <v>191</v>
      </c>
      <c r="B17" s="16" t="s">
        <v>192</v>
      </c>
    </row>
    <row r="18" spans="1:2" x14ac:dyDescent="0.25">
      <c r="B18" s="16" t="s">
        <v>265</v>
      </c>
    </row>
    <row r="19" spans="1:2" x14ac:dyDescent="0.25">
      <c r="B19" s="16" t="s">
        <v>193</v>
      </c>
    </row>
    <row r="21" spans="1:2" x14ac:dyDescent="0.25">
      <c r="A21" s="72" t="s">
        <v>194</v>
      </c>
      <c r="B21" s="16" t="s">
        <v>195</v>
      </c>
    </row>
    <row r="22" spans="1:2" x14ac:dyDescent="0.25">
      <c r="B22" s="16" t="s">
        <v>196</v>
      </c>
    </row>
    <row r="24" spans="1:2" x14ac:dyDescent="0.25">
      <c r="A24" s="72" t="s">
        <v>61</v>
      </c>
    </row>
    <row r="25" spans="1:2" x14ac:dyDescent="0.25">
      <c r="A25" s="73" t="s">
        <v>281</v>
      </c>
      <c r="B25" s="16" t="s">
        <v>282</v>
      </c>
    </row>
    <row r="26" spans="1:2" x14ac:dyDescent="0.25">
      <c r="A26" s="73" t="s">
        <v>200</v>
      </c>
      <c r="B26" s="16" t="s">
        <v>201</v>
      </c>
    </row>
    <row r="27" spans="1:2" x14ac:dyDescent="0.25">
      <c r="B27" s="16" t="s">
        <v>202</v>
      </c>
    </row>
    <row r="28" spans="1:2" x14ac:dyDescent="0.25">
      <c r="B28" s="16" t="s">
        <v>203</v>
      </c>
    </row>
    <row r="30" spans="1:2" x14ac:dyDescent="0.25">
      <c r="A30" s="72" t="s">
        <v>263</v>
      </c>
    </row>
    <row r="31" spans="1:2" x14ac:dyDescent="0.25">
      <c r="A31" s="72"/>
      <c r="B31" s="16" t="s">
        <v>264</v>
      </c>
    </row>
    <row r="33" spans="1:2" x14ac:dyDescent="0.25">
      <c r="A33" s="72" t="s">
        <v>66</v>
      </c>
      <c r="B33" s="16" t="s">
        <v>206</v>
      </c>
    </row>
    <row r="34" spans="1:2" x14ac:dyDescent="0.25">
      <c r="B34" s="16" t="s">
        <v>207</v>
      </c>
    </row>
    <row r="35" spans="1:2" x14ac:dyDescent="0.25">
      <c r="B35" s="16" t="s">
        <v>208</v>
      </c>
    </row>
    <row r="36" spans="1:2" x14ac:dyDescent="0.25">
      <c r="B36" s="16" t="s">
        <v>209</v>
      </c>
    </row>
    <row r="37" spans="1:2" x14ac:dyDescent="0.25">
      <c r="B37" s="16" t="s">
        <v>210</v>
      </c>
    </row>
    <row r="38" spans="1:2" x14ac:dyDescent="0.25">
      <c r="B38" s="16" t="s">
        <v>211</v>
      </c>
    </row>
    <row r="40" spans="1:2" x14ac:dyDescent="0.25">
      <c r="A40" s="72" t="s">
        <v>65</v>
      </c>
      <c r="B40" s="16" t="s">
        <v>212</v>
      </c>
    </row>
    <row r="41" spans="1:2" x14ac:dyDescent="0.25">
      <c r="B41" s="16" t="s">
        <v>266</v>
      </c>
    </row>
    <row r="42" spans="1:2" x14ac:dyDescent="0.25">
      <c r="B42" s="16" t="s">
        <v>213</v>
      </c>
    </row>
    <row r="43" spans="1:2" x14ac:dyDescent="0.25">
      <c r="B43" s="16" t="s">
        <v>214</v>
      </c>
    </row>
    <row r="45" spans="1:2" x14ac:dyDescent="0.25">
      <c r="A45" s="72" t="s">
        <v>215</v>
      </c>
      <c r="B45" s="16" t="s">
        <v>217</v>
      </c>
    </row>
    <row r="46" spans="1:2" x14ac:dyDescent="0.25">
      <c r="A46" s="72" t="s">
        <v>216</v>
      </c>
      <c r="B46" s="16" t="s">
        <v>218</v>
      </c>
    </row>
    <row r="47" spans="1:2" x14ac:dyDescent="0.25">
      <c r="B47" s="16" t="s">
        <v>219</v>
      </c>
    </row>
    <row r="49" spans="1:2" x14ac:dyDescent="0.25">
      <c r="A49" s="72" t="s">
        <v>220</v>
      </c>
      <c r="B49" s="16" t="s">
        <v>221</v>
      </c>
    </row>
    <row r="50" spans="1:2" x14ac:dyDescent="0.25">
      <c r="B50" s="16" t="s">
        <v>222</v>
      </c>
    </row>
    <row r="51" spans="1:2" x14ac:dyDescent="0.25">
      <c r="B51" s="16" t="s">
        <v>223</v>
      </c>
    </row>
    <row r="52" spans="1:2" x14ac:dyDescent="0.25">
      <c r="B52" s="16" t="s">
        <v>224</v>
      </c>
    </row>
    <row r="54" spans="1:2" x14ac:dyDescent="0.25">
      <c r="A54" s="72" t="s">
        <v>225</v>
      </c>
      <c r="B54" s="16" t="s">
        <v>226</v>
      </c>
    </row>
    <row r="55" spans="1:2" x14ac:dyDescent="0.25">
      <c r="A55" s="72"/>
    </row>
    <row r="56" spans="1:2" x14ac:dyDescent="0.25">
      <c r="A56" s="72" t="s">
        <v>227</v>
      </c>
      <c r="B56" s="16" t="s">
        <v>228</v>
      </c>
    </row>
    <row r="57" spans="1:2" x14ac:dyDescent="0.25">
      <c r="A57" s="72"/>
      <c r="B57" s="16" t="s">
        <v>229</v>
      </c>
    </row>
    <row r="58" spans="1:2" x14ac:dyDescent="0.25">
      <c r="A58" s="72"/>
    </row>
    <row r="59" spans="1:2" x14ac:dyDescent="0.25">
      <c r="A59" s="72" t="s">
        <v>230</v>
      </c>
      <c r="B59" s="16" t="s">
        <v>231</v>
      </c>
    </row>
    <row r="60" spans="1:2" x14ac:dyDescent="0.25">
      <c r="A60" s="72"/>
      <c r="B60" s="16" t="s">
        <v>232</v>
      </c>
    </row>
    <row r="61" spans="1:2" x14ac:dyDescent="0.25">
      <c r="A61" s="72"/>
      <c r="B61" s="16" t="s">
        <v>233</v>
      </c>
    </row>
    <row r="62" spans="1:2" x14ac:dyDescent="0.25">
      <c r="A62" s="72"/>
    </row>
    <row r="63" spans="1:2" x14ac:dyDescent="0.25">
      <c r="A63" s="72" t="s">
        <v>234</v>
      </c>
      <c r="B63" s="16" t="s">
        <v>235</v>
      </c>
    </row>
    <row r="64" spans="1:2" x14ac:dyDescent="0.25">
      <c r="B64" s="16" t="s">
        <v>236</v>
      </c>
    </row>
    <row r="66" spans="1:2" ht="12" customHeight="1" x14ac:dyDescent="0.25">
      <c r="A66" s="115"/>
      <c r="B66" s="115"/>
    </row>
    <row r="67" spans="1:2" ht="12" customHeight="1" x14ac:dyDescent="0.25">
      <c r="A67" s="33"/>
    </row>
  </sheetData>
  <sheetProtection algorithmName="SHA-512" hashValue="U2EAlOvkzoVuXLh4l2TfB4krV9gyz+0V3YNlBflV3lPToLr2Nz+9CGEfwzjWIeaTBOLVvExuGw5g1sOuwT4kdw==" saltValue="tVy7B7/ah5ed9YyjtjU6Eg==" spinCount="100000" sheet="1" objects="1" scenarios="1" selectLockedCells="1"/>
  <mergeCells count="1">
    <mergeCell ref="A66:B66"/>
  </mergeCells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J50"/>
  <sheetViews>
    <sheetView showGridLines="0" zoomScale="120" workbookViewId="0">
      <selection activeCell="D36" sqref="D36"/>
    </sheetView>
  </sheetViews>
  <sheetFormatPr defaultRowHeight="15" x14ac:dyDescent="0.25"/>
  <cols>
    <col min="1" max="1" width="3.5703125" style="16" customWidth="1"/>
    <col min="2" max="2" width="24.140625" style="16" customWidth="1"/>
    <col min="3" max="3" width="14" style="16" customWidth="1"/>
    <col min="4" max="4" width="4.7109375" style="16" customWidth="1"/>
    <col min="5" max="5" width="13.5703125" style="16" customWidth="1"/>
    <col min="6" max="6" width="5" style="16" customWidth="1"/>
    <col min="7" max="7" width="11" style="16" bestFit="1" customWidth="1"/>
    <col min="8" max="16384" width="9.140625" style="16"/>
  </cols>
  <sheetData>
    <row r="1" spans="1:9" ht="58.5" customHeight="1" thickBot="1" x14ac:dyDescent="0.3"/>
    <row r="2" spans="1:9" ht="27.75" thickTop="1" thickBot="1" x14ac:dyDescent="0.45">
      <c r="A2" s="119" t="str">
        <f>Gegevens!D1&amp;Gegevens!A1&amp;Gegevens!A2</f>
        <v>Ingave gegevens Voorlopige Aanslag 2023</v>
      </c>
      <c r="B2" s="120"/>
      <c r="C2" s="120"/>
      <c r="D2" s="120"/>
      <c r="E2" s="120"/>
      <c r="F2" s="120"/>
      <c r="G2" s="120"/>
      <c r="H2" s="121"/>
    </row>
    <row r="3" spans="1:9" ht="15.75" thickTop="1" x14ac:dyDescent="0.25">
      <c r="A3" s="17"/>
      <c r="B3" s="17"/>
      <c r="C3" s="17"/>
      <c r="D3" s="17"/>
      <c r="E3" s="17"/>
      <c r="F3" s="17"/>
      <c r="G3" s="17"/>
      <c r="H3" s="17"/>
    </row>
    <row r="4" spans="1:9" ht="17.25" x14ac:dyDescent="0.3">
      <c r="A4" s="17"/>
      <c r="B4" s="17"/>
      <c r="C4" s="17"/>
      <c r="D4" s="122" t="s">
        <v>55</v>
      </c>
      <c r="E4" s="123"/>
      <c r="F4" s="127" t="s">
        <v>287</v>
      </c>
      <c r="G4" s="128"/>
      <c r="H4" s="128"/>
      <c r="I4" s="129"/>
    </row>
    <row r="5" spans="1:9" x14ac:dyDescent="0.25">
      <c r="A5" s="18" t="s">
        <v>10</v>
      </c>
      <c r="C5" s="17"/>
      <c r="D5" s="17"/>
      <c r="E5" s="17"/>
      <c r="F5" s="17"/>
      <c r="G5" s="17"/>
      <c r="H5" s="17"/>
    </row>
    <row r="6" spans="1:9" x14ac:dyDescent="0.25">
      <c r="A6" s="17"/>
      <c r="B6" s="17"/>
      <c r="C6" s="17"/>
      <c r="D6" s="17"/>
      <c r="E6" s="17"/>
      <c r="F6" s="17"/>
      <c r="G6" s="17"/>
      <c r="H6" s="17"/>
    </row>
    <row r="7" spans="1:9" x14ac:dyDescent="0.25">
      <c r="A7" s="17"/>
      <c r="B7" s="17" t="s">
        <v>11</v>
      </c>
      <c r="C7" s="124"/>
      <c r="D7" s="125"/>
      <c r="E7" s="125"/>
      <c r="F7" s="125"/>
      <c r="G7" s="126"/>
      <c r="H7" s="17"/>
    </row>
    <row r="8" spans="1:9" x14ac:dyDescent="0.25">
      <c r="A8" s="17"/>
      <c r="B8" s="17" t="s">
        <v>12</v>
      </c>
      <c r="C8" s="124"/>
      <c r="D8" s="125"/>
      <c r="E8" s="125"/>
      <c r="F8" s="125"/>
      <c r="G8" s="126"/>
      <c r="H8" s="17"/>
    </row>
    <row r="9" spans="1:9" x14ac:dyDescent="0.25">
      <c r="A9" s="17"/>
      <c r="B9" s="17" t="s">
        <v>13</v>
      </c>
      <c r="C9" s="19"/>
      <c r="D9" s="20"/>
      <c r="E9" s="124"/>
      <c r="F9" s="125"/>
      <c r="G9" s="126"/>
      <c r="H9" s="17"/>
    </row>
    <row r="10" spans="1:9" x14ac:dyDescent="0.25">
      <c r="A10" s="17"/>
      <c r="B10" s="17"/>
      <c r="C10" s="17"/>
      <c r="D10" s="17"/>
      <c r="E10" s="17"/>
      <c r="F10" s="17"/>
      <c r="G10" s="17"/>
      <c r="H10" s="17"/>
    </row>
    <row r="11" spans="1:9" x14ac:dyDescent="0.25">
      <c r="A11" s="17"/>
      <c r="B11" s="17" t="s">
        <v>29</v>
      </c>
      <c r="C11" s="124"/>
      <c r="D11" s="125"/>
      <c r="E11" s="125"/>
      <c r="F11" s="125"/>
      <c r="G11" s="126"/>
      <c r="H11" s="17"/>
    </row>
    <row r="12" spans="1:9" x14ac:dyDescent="0.25">
      <c r="A12" s="17"/>
      <c r="B12" s="17"/>
      <c r="C12" s="17"/>
      <c r="D12" s="17"/>
      <c r="E12" s="17"/>
      <c r="F12" s="17"/>
      <c r="G12" s="17"/>
      <c r="H12" s="17"/>
    </row>
    <row r="13" spans="1:9" x14ac:dyDescent="0.25">
      <c r="A13" s="17"/>
      <c r="C13" s="66"/>
      <c r="D13" s="17"/>
      <c r="E13" s="17"/>
      <c r="F13" s="130"/>
      <c r="G13" s="130"/>
      <c r="H13" s="17"/>
    </row>
    <row r="14" spans="1:9" x14ac:dyDescent="0.25">
      <c r="B14" s="16" t="s">
        <v>67</v>
      </c>
      <c r="C14" s="65">
        <v>44927</v>
      </c>
      <c r="D14" s="22"/>
      <c r="E14" s="21">
        <v>45138</v>
      </c>
      <c r="F14" s="17"/>
    </row>
    <row r="15" spans="1:9" x14ac:dyDescent="0.25">
      <c r="B15" s="16" t="s">
        <v>68</v>
      </c>
      <c r="C15" s="175">
        <v>45139</v>
      </c>
      <c r="D15" s="24" t="str">
        <f>IF(C15="","","t/m")</f>
        <v>t/m</v>
      </c>
      <c r="E15" s="21">
        <v>45291</v>
      </c>
      <c r="F15" s="17"/>
      <c r="H15" s="17"/>
    </row>
    <row r="16" spans="1:9" x14ac:dyDescent="0.25">
      <c r="B16" s="16" t="s">
        <v>69</v>
      </c>
      <c r="C16" s="23"/>
      <c r="D16" s="24" t="str">
        <f>IF(C16="","","t/m")</f>
        <v/>
      </c>
      <c r="E16" s="23"/>
      <c r="F16" s="17"/>
      <c r="H16" s="17"/>
    </row>
    <row r="17" spans="1:10" x14ac:dyDescent="0.25">
      <c r="B17" s="16" t="s">
        <v>70</v>
      </c>
      <c r="C17" s="23"/>
      <c r="D17" s="24" t="str">
        <f>IF(C17="","","t/m")</f>
        <v/>
      </c>
      <c r="E17" s="23"/>
      <c r="F17" s="17"/>
    </row>
    <row r="19" spans="1:10" x14ac:dyDescent="0.25">
      <c r="A19" s="17" t="s">
        <v>14</v>
      </c>
      <c r="B19" s="17"/>
      <c r="C19" s="25">
        <v>26934</v>
      </c>
      <c r="D19" s="17"/>
      <c r="E19" s="16" t="s">
        <v>26</v>
      </c>
    </row>
    <row r="20" spans="1:10" x14ac:dyDescent="0.25">
      <c r="A20" s="17" t="s">
        <v>30</v>
      </c>
      <c r="B20" s="17"/>
      <c r="C20" s="25">
        <v>22049</v>
      </c>
      <c r="D20" s="17"/>
      <c r="E20" s="116" t="str">
        <f>Berekeningen!F1</f>
        <v>Gehuwd met kind(eren)</v>
      </c>
      <c r="F20" s="117"/>
      <c r="G20" s="117"/>
      <c r="H20" s="117"/>
      <c r="I20" s="118"/>
    </row>
    <row r="21" spans="1:10" x14ac:dyDescent="0.25">
      <c r="A21" s="17" t="s">
        <v>252</v>
      </c>
      <c r="B21" s="17"/>
      <c r="C21" s="26">
        <v>40909</v>
      </c>
      <c r="D21" s="17"/>
    </row>
    <row r="22" spans="1:10" ht="19.5" x14ac:dyDescent="0.3">
      <c r="A22" s="17"/>
      <c r="B22" s="17"/>
      <c r="C22" s="17"/>
      <c r="D22" s="17"/>
      <c r="E22" s="27" t="str">
        <f ca="1">Berekeningen!H101</f>
        <v/>
      </c>
    </row>
    <row r="23" spans="1:10" ht="19.5" x14ac:dyDescent="0.3">
      <c r="A23" s="17"/>
      <c r="B23" s="17"/>
      <c r="C23" s="17"/>
      <c r="D23" s="17"/>
      <c r="E23" s="27" t="str">
        <f ca="1">Berekeningen!H102</f>
        <v/>
      </c>
    </row>
    <row r="25" spans="1:10" x14ac:dyDescent="0.25">
      <c r="B25" s="18" t="s">
        <v>61</v>
      </c>
      <c r="C25" s="16" t="s">
        <v>17</v>
      </c>
      <c r="E25" s="16" t="s">
        <v>18</v>
      </c>
    </row>
    <row r="26" spans="1:10" x14ac:dyDescent="0.25">
      <c r="B26" s="16" t="s">
        <v>281</v>
      </c>
      <c r="C26" s="34">
        <v>3000</v>
      </c>
      <c r="E26" s="34">
        <v>3000</v>
      </c>
    </row>
    <row r="27" spans="1:10" x14ac:dyDescent="0.25">
      <c r="B27" s="16" t="s">
        <v>60</v>
      </c>
      <c r="C27" s="34"/>
      <c r="J27" s="28"/>
    </row>
    <row r="29" spans="1:10" x14ac:dyDescent="0.25">
      <c r="B29" s="18" t="s">
        <v>66</v>
      </c>
    </row>
    <row r="30" spans="1:10" x14ac:dyDescent="0.25">
      <c r="B30" s="16" t="s">
        <v>62</v>
      </c>
      <c r="C30" s="34">
        <v>0</v>
      </c>
      <c r="D30" s="29">
        <v>1</v>
      </c>
      <c r="E30" s="34">
        <v>0</v>
      </c>
      <c r="F30" s="30">
        <v>1</v>
      </c>
    </row>
    <row r="31" spans="1:10" x14ac:dyDescent="0.25">
      <c r="B31" s="16" t="s">
        <v>16</v>
      </c>
      <c r="C31" s="34">
        <v>0</v>
      </c>
      <c r="D31" s="29">
        <v>2</v>
      </c>
      <c r="E31" s="34">
        <v>0</v>
      </c>
      <c r="F31" s="30">
        <v>2</v>
      </c>
    </row>
    <row r="32" spans="1:10" x14ac:dyDescent="0.25">
      <c r="B32" s="16" t="s">
        <v>15</v>
      </c>
      <c r="C32" s="34">
        <v>10000</v>
      </c>
      <c r="D32" s="29">
        <v>3</v>
      </c>
      <c r="E32" s="34">
        <v>5000</v>
      </c>
      <c r="F32" s="30">
        <v>3</v>
      </c>
    </row>
    <row r="33" spans="2:8" ht="15.75" thickBot="1" x14ac:dyDescent="0.3">
      <c r="B33" s="16" t="s">
        <v>63</v>
      </c>
      <c r="C33" s="35">
        <f>Berekeningen!B164</f>
        <v>4440</v>
      </c>
      <c r="E33" s="37">
        <f>Berekeningen!F149</f>
        <v>3000</v>
      </c>
    </row>
    <row r="34" spans="2:8" ht="16.5" thickTop="1" thickBot="1" x14ac:dyDescent="0.3">
      <c r="B34" s="16" t="s">
        <v>64</v>
      </c>
      <c r="C34" s="36">
        <f>SUM(C30:C33)</f>
        <v>14440</v>
      </c>
      <c r="E34" s="36">
        <f>SUM(E30:E33)</f>
        <v>8000</v>
      </c>
    </row>
    <row r="35" spans="2:8" ht="15.75" thickTop="1" x14ac:dyDescent="0.25"/>
    <row r="36" spans="2:8" x14ac:dyDescent="0.25">
      <c r="B36" s="16" t="s">
        <v>65</v>
      </c>
      <c r="D36" s="38">
        <v>3</v>
      </c>
      <c r="F36" s="38">
        <v>3</v>
      </c>
    </row>
    <row r="37" spans="2:8" x14ac:dyDescent="0.25">
      <c r="B37" s="16" t="s">
        <v>71</v>
      </c>
    </row>
    <row r="38" spans="2:8" x14ac:dyDescent="0.25">
      <c r="B38" s="16" t="s">
        <v>148</v>
      </c>
    </row>
    <row r="39" spans="2:8" x14ac:dyDescent="0.25">
      <c r="B39" s="16" t="s">
        <v>151</v>
      </c>
      <c r="D39" s="178">
        <v>12</v>
      </c>
      <c r="F39" s="178">
        <v>12</v>
      </c>
    </row>
    <row r="41" spans="2:8" x14ac:dyDescent="0.25">
      <c r="B41" s="31" t="s">
        <v>45</v>
      </c>
    </row>
    <row r="42" spans="2:8" x14ac:dyDescent="0.25">
      <c r="B42" s="17" t="s">
        <v>32</v>
      </c>
      <c r="C42" s="34"/>
      <c r="E42" s="17" t="s">
        <v>38</v>
      </c>
      <c r="G42" s="34"/>
    </row>
    <row r="43" spans="2:8" x14ac:dyDescent="0.25">
      <c r="B43" s="17" t="s">
        <v>33</v>
      </c>
      <c r="C43" s="34"/>
      <c r="E43" s="17" t="s">
        <v>39</v>
      </c>
      <c r="G43" s="34"/>
    </row>
    <row r="44" spans="2:8" x14ac:dyDescent="0.25">
      <c r="B44" s="17" t="s">
        <v>34</v>
      </c>
      <c r="C44" s="34"/>
      <c r="E44" s="17" t="s">
        <v>40</v>
      </c>
      <c r="G44" s="34"/>
    </row>
    <row r="45" spans="2:8" x14ac:dyDescent="0.25">
      <c r="B45" s="17" t="s">
        <v>35</v>
      </c>
      <c r="C45" s="34"/>
      <c r="E45" s="17" t="s">
        <v>41</v>
      </c>
      <c r="G45" s="34"/>
    </row>
    <row r="46" spans="2:8" x14ac:dyDescent="0.25">
      <c r="B46" s="17" t="s">
        <v>36</v>
      </c>
      <c r="C46" s="34"/>
      <c r="E46" s="17" t="s">
        <v>42</v>
      </c>
      <c r="G46" s="34"/>
    </row>
    <row r="47" spans="2:8" ht="15" customHeight="1" x14ac:dyDescent="0.25">
      <c r="B47" s="17" t="s">
        <v>37</v>
      </c>
      <c r="C47" s="34"/>
      <c r="E47" s="17" t="s">
        <v>43</v>
      </c>
      <c r="G47" s="34"/>
    </row>
    <row r="48" spans="2:8" x14ac:dyDescent="0.25">
      <c r="E48" s="17" t="s">
        <v>275</v>
      </c>
      <c r="H48" s="39">
        <v>1</v>
      </c>
    </row>
    <row r="49" spans="2:2" x14ac:dyDescent="0.25">
      <c r="B49" s="32" t="s">
        <v>288</v>
      </c>
    </row>
    <row r="50" spans="2:2" ht="10.5" customHeight="1" x14ac:dyDescent="0.25">
      <c r="B50" s="33"/>
    </row>
  </sheetData>
  <sheetProtection algorithmName="SHA-512" hashValue="8iIv6/AQQYTGnHIC11l6ljp6dNLuDFKpZcBSLaOCm9iPtZy0xrxXyuD5UmkO/mGusIIsGviJS4TTZYusLELnRQ==" saltValue="3XB/oorDka78mQK4I/GHIg==" spinCount="100000" sheet="1" selectLockedCells="1"/>
  <mergeCells count="9">
    <mergeCell ref="E20:I20"/>
    <mergeCell ref="A2:H2"/>
    <mergeCell ref="D4:E4"/>
    <mergeCell ref="C7:G7"/>
    <mergeCell ref="F4:I4"/>
    <mergeCell ref="C8:G8"/>
    <mergeCell ref="E9:G9"/>
    <mergeCell ref="C11:G11"/>
    <mergeCell ref="F13:G13"/>
  </mergeCells>
  <phoneticPr fontId="2" type="noConversion"/>
  <pageMargins left="0.75" right="0.75" top="1" bottom="1" header="0.5" footer="0.5"/>
  <pageSetup paperSize="9" scale="90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H64"/>
  <sheetViews>
    <sheetView showGridLines="0" zoomScale="125" zoomScaleNormal="150" workbookViewId="0">
      <selection activeCell="A2" sqref="A2:H2"/>
    </sheetView>
  </sheetViews>
  <sheetFormatPr defaultColWidth="13" defaultRowHeight="12" x14ac:dyDescent="0.2"/>
  <cols>
    <col min="1" max="1" width="13" style="41" customWidth="1"/>
    <col min="2" max="2" width="6.140625" style="41" customWidth="1"/>
    <col min="3" max="3" width="13" style="40" customWidth="1"/>
    <col min="4" max="4" width="2.7109375" style="40" customWidth="1"/>
    <col min="5" max="16384" width="13" style="40"/>
  </cols>
  <sheetData>
    <row r="1" spans="1:8" ht="63" customHeight="1" thickBot="1" x14ac:dyDescent="0.25"/>
    <row r="2" spans="1:8" ht="33" thickTop="1" thickBot="1" x14ac:dyDescent="0.55000000000000004">
      <c r="A2" s="131" t="str">
        <f>Gegevens!A1&amp;Gegevens!A27&amp;Gegevens!A2&amp;" - Cliënt"</f>
        <v>Voorlopige Aanslag 2023 - Cliënt</v>
      </c>
      <c r="B2" s="132"/>
      <c r="C2" s="132"/>
      <c r="D2" s="132"/>
      <c r="E2" s="132"/>
      <c r="F2" s="132"/>
      <c r="G2" s="132"/>
      <c r="H2" s="133"/>
    </row>
    <row r="3" spans="1:8" ht="12.75" thickTop="1" x14ac:dyDescent="0.2">
      <c r="A3" s="17"/>
      <c r="B3" s="17"/>
      <c r="C3" s="17"/>
      <c r="D3" s="17"/>
      <c r="E3" s="17"/>
      <c r="F3" s="17"/>
      <c r="G3" s="17"/>
      <c r="H3" s="17"/>
    </row>
    <row r="4" spans="1:8" x14ac:dyDescent="0.2">
      <c r="A4" s="17" t="s">
        <v>11</v>
      </c>
      <c r="C4" s="135">
        <f>Ingave!C7</f>
        <v>0</v>
      </c>
      <c r="D4" s="136"/>
      <c r="E4" s="136"/>
      <c r="F4" s="136"/>
      <c r="G4" s="137"/>
      <c r="H4" s="17"/>
    </row>
    <row r="5" spans="1:8" x14ac:dyDescent="0.2">
      <c r="A5" s="17" t="s">
        <v>12</v>
      </c>
      <c r="B5" s="17"/>
      <c r="C5" s="135">
        <f>Ingave!C8</f>
        <v>0</v>
      </c>
      <c r="D5" s="136"/>
      <c r="E5" s="136"/>
      <c r="F5" s="136"/>
      <c r="G5" s="137"/>
      <c r="H5" s="17"/>
    </row>
    <row r="6" spans="1:8" x14ac:dyDescent="0.2">
      <c r="A6" s="17" t="s">
        <v>13</v>
      </c>
      <c r="B6" s="17"/>
      <c r="C6" s="44">
        <f>Ingave!C9</f>
        <v>0</v>
      </c>
      <c r="D6" s="17"/>
      <c r="E6" s="135">
        <f>Ingave!E9</f>
        <v>0</v>
      </c>
      <c r="F6" s="136"/>
      <c r="G6" s="137"/>
      <c r="H6" s="17"/>
    </row>
    <row r="7" spans="1:8" x14ac:dyDescent="0.2">
      <c r="A7" s="17"/>
      <c r="B7" s="17"/>
      <c r="C7" s="17"/>
      <c r="D7" s="17"/>
      <c r="E7" s="17"/>
      <c r="F7" s="17"/>
      <c r="G7" s="17"/>
      <c r="H7" s="17"/>
    </row>
    <row r="8" spans="1:8" x14ac:dyDescent="0.2">
      <c r="A8" s="17" t="s">
        <v>99</v>
      </c>
      <c r="B8" s="17"/>
      <c r="C8" s="17"/>
      <c r="D8" s="17"/>
      <c r="E8" s="45" t="s">
        <v>84</v>
      </c>
      <c r="F8" s="46">
        <f>IF(Berekeningen!F13=Berekeningen!D4-1," ",Berekeningen!F13)</f>
        <v>49</v>
      </c>
      <c r="G8" s="17" t="str">
        <f>IF(Ingave!C19="","","(op 31 december "&amp;Gegevens!A2-1&amp;")")</f>
        <v>(op 31 december 2022)</v>
      </c>
      <c r="H8" s="17"/>
    </row>
    <row r="9" spans="1:8" x14ac:dyDescent="0.2">
      <c r="A9" s="17"/>
      <c r="B9" s="17"/>
      <c r="C9" s="17"/>
      <c r="D9" s="17"/>
      <c r="E9" s="45" t="s">
        <v>95</v>
      </c>
      <c r="F9" s="47">
        <f>Gegevens!E5</f>
        <v>0.36930000000000002</v>
      </c>
      <c r="G9" s="17"/>
      <c r="H9" s="17"/>
    </row>
    <row r="10" spans="1:8" x14ac:dyDescent="0.2">
      <c r="A10" s="17"/>
      <c r="B10" s="17"/>
      <c r="C10" s="17"/>
      <c r="D10" s="17"/>
      <c r="E10" s="45"/>
      <c r="F10" s="17"/>
      <c r="G10" s="17"/>
      <c r="H10" s="17"/>
    </row>
    <row r="11" spans="1:8" x14ac:dyDescent="0.2">
      <c r="A11" s="45" t="s">
        <v>100</v>
      </c>
      <c r="B11" s="45"/>
      <c r="C11" s="45"/>
      <c r="D11" s="45"/>
      <c r="E11" s="17"/>
      <c r="F11" s="17"/>
      <c r="G11" s="17"/>
      <c r="H11" s="17"/>
    </row>
    <row r="12" spans="1:8" x14ac:dyDescent="0.2">
      <c r="A12" s="47">
        <f>Gegevens!F5</f>
        <v>0.36930000000000002</v>
      </c>
      <c r="B12" s="17" t="s">
        <v>19</v>
      </c>
      <c r="C12" s="17">
        <f>Berekeningen!B62</f>
        <v>14440</v>
      </c>
      <c r="D12" s="17"/>
      <c r="E12" s="17">
        <f>ROUND(A12*C12,2)</f>
        <v>5332.69</v>
      </c>
      <c r="F12" s="17" t="s">
        <v>101</v>
      </c>
      <c r="G12" s="17"/>
      <c r="H12" s="17"/>
    </row>
    <row r="13" spans="1:8" x14ac:dyDescent="0.2">
      <c r="A13" s="47">
        <f>Gegevens!F6</f>
        <v>0.495</v>
      </c>
      <c r="B13" s="17" t="s">
        <v>19</v>
      </c>
      <c r="C13" s="17">
        <f>Berekeningen!B63</f>
        <v>0</v>
      </c>
      <c r="D13" s="17"/>
      <c r="E13" s="17">
        <f>ROUND(A13*C13,2)</f>
        <v>0</v>
      </c>
      <c r="F13" s="17" t="s">
        <v>102</v>
      </c>
      <c r="G13" s="17"/>
      <c r="H13" s="17"/>
    </row>
    <row r="14" spans="1:8" x14ac:dyDescent="0.2">
      <c r="A14" s="47">
        <f>Gegevens!F7</f>
        <v>0</v>
      </c>
      <c r="B14" s="17" t="s">
        <v>19</v>
      </c>
      <c r="C14" s="17">
        <f>Berekeningen!B64</f>
        <v>0</v>
      </c>
      <c r="D14" s="17"/>
      <c r="E14" s="17">
        <f>ROUND(A14*C14,2)</f>
        <v>0</v>
      </c>
      <c r="F14" s="17" t="s">
        <v>103</v>
      </c>
      <c r="G14" s="17"/>
      <c r="H14" s="17"/>
    </row>
    <row r="15" spans="1:8" x14ac:dyDescent="0.2">
      <c r="A15" s="45"/>
      <c r="B15" s="45"/>
      <c r="C15" s="45"/>
      <c r="D15" s="45"/>
      <c r="E15" s="17"/>
      <c r="F15" s="17"/>
      <c r="G15" s="17"/>
      <c r="H15" s="17"/>
    </row>
    <row r="16" spans="1:8" x14ac:dyDescent="0.2">
      <c r="A16" s="47"/>
      <c r="B16" s="17"/>
      <c r="C16" s="17"/>
      <c r="D16" s="17"/>
      <c r="E16" s="17"/>
      <c r="F16" s="17"/>
      <c r="G16" s="17"/>
      <c r="H16" s="17"/>
    </row>
    <row r="17" spans="1:8" x14ac:dyDescent="0.2">
      <c r="A17" s="17"/>
      <c r="B17" s="17"/>
      <c r="C17" s="17"/>
      <c r="D17" s="17"/>
      <c r="E17" s="17"/>
      <c r="F17" s="17"/>
      <c r="G17" s="17"/>
      <c r="H17" s="45"/>
    </row>
    <row r="18" spans="1:8" ht="12.75" thickBot="1" x14ac:dyDescent="0.25">
      <c r="A18" s="17" t="s">
        <v>104</v>
      </c>
      <c r="B18" s="17"/>
      <c r="C18" s="17"/>
      <c r="D18" s="17"/>
      <c r="E18" s="48">
        <f>ROUND(SUM(E12:E17),0)</f>
        <v>5333</v>
      </c>
      <c r="F18" s="17"/>
      <c r="G18" s="17"/>
      <c r="H18" s="17"/>
    </row>
    <row r="19" spans="1:8" ht="13.5" thickTop="1" thickBot="1" x14ac:dyDescent="0.25">
      <c r="A19" s="17"/>
      <c r="B19" s="17"/>
      <c r="C19" s="17"/>
      <c r="D19" s="17"/>
      <c r="E19" s="17"/>
      <c r="F19" s="17"/>
      <c r="G19" s="17"/>
      <c r="H19" s="17"/>
    </row>
    <row r="20" spans="1:8" ht="12.75" thickTop="1" x14ac:dyDescent="0.2">
      <c r="A20" s="49" t="s">
        <v>105</v>
      </c>
      <c r="B20" s="50"/>
      <c r="C20" s="50"/>
      <c r="D20" s="50"/>
      <c r="E20" s="51"/>
      <c r="F20" s="17"/>
      <c r="G20" s="17"/>
      <c r="H20" s="17"/>
    </row>
    <row r="21" spans="1:8" x14ac:dyDescent="0.2">
      <c r="A21" s="52" t="s">
        <v>104</v>
      </c>
      <c r="B21" s="17"/>
      <c r="C21" s="17"/>
      <c r="D21" s="17"/>
      <c r="E21" s="53">
        <f>$E$18</f>
        <v>5333</v>
      </c>
      <c r="F21" s="17"/>
      <c r="G21" s="17"/>
      <c r="H21" s="17"/>
    </row>
    <row r="22" spans="1:8" x14ac:dyDescent="0.2">
      <c r="A22" s="52" t="s">
        <v>1</v>
      </c>
      <c r="B22" s="17"/>
      <c r="C22" s="17"/>
      <c r="D22" s="17"/>
      <c r="E22" s="53">
        <f>$H$27*-1</f>
        <v>-3070</v>
      </c>
      <c r="F22" s="17"/>
      <c r="G22" s="17"/>
      <c r="H22" s="17"/>
    </row>
    <row r="23" spans="1:8" x14ac:dyDescent="0.2">
      <c r="A23" s="52" t="str">
        <f>IF(Berekeningen!K28&lt;=0," ","Arbeidskorting")</f>
        <v>Arbeidskorting</v>
      </c>
      <c r="B23" s="17"/>
      <c r="C23" s="17"/>
      <c r="D23" s="17"/>
      <c r="E23" s="53">
        <f>$H$28*-1</f>
        <v>-824</v>
      </c>
      <c r="F23" s="17"/>
      <c r="G23" s="17"/>
      <c r="H23" s="17"/>
    </row>
    <row r="24" spans="1:8" x14ac:dyDescent="0.2">
      <c r="A24" s="52" t="str">
        <f>IF(Berekeningen!K25&gt;0,"Jonggehandicaptenkorting","")</f>
        <v/>
      </c>
      <c r="B24" s="17"/>
      <c r="C24" s="17"/>
      <c r="D24" s="17"/>
      <c r="E24" s="53">
        <f>IF(Berekeningen!K25&gt;0,Berekeningen!K25*-1,0)</f>
        <v>0</v>
      </c>
      <c r="F24" s="17"/>
      <c r="G24" s="17"/>
      <c r="H24" s="17"/>
    </row>
    <row r="25" spans="1:8" ht="12.75" thickBot="1" x14ac:dyDescent="0.25">
      <c r="A25" s="54" t="s">
        <v>107</v>
      </c>
      <c r="B25" s="48"/>
      <c r="C25" s="48"/>
      <c r="D25" s="48"/>
      <c r="E25" s="55">
        <f>IF(SUM(E21:E24)&lt;=0,0,SUM(E21:E24))</f>
        <v>1439</v>
      </c>
      <c r="F25" s="17"/>
      <c r="G25" s="17"/>
      <c r="H25" s="17"/>
    </row>
    <row r="26" spans="1:8" ht="12.75" thickTop="1" x14ac:dyDescent="0.2">
      <c r="A26" s="17"/>
      <c r="B26" s="17"/>
      <c r="C26" s="17"/>
      <c r="D26" s="17"/>
      <c r="E26" s="17"/>
      <c r="F26" s="17"/>
      <c r="G26" s="17"/>
      <c r="H26" s="17"/>
    </row>
    <row r="27" spans="1:8" x14ac:dyDescent="0.2">
      <c r="A27" s="17" t="s">
        <v>1</v>
      </c>
      <c r="B27" s="17"/>
      <c r="C27" s="17"/>
      <c r="D27" s="17"/>
      <c r="E27" s="17"/>
      <c r="F27" s="17"/>
      <c r="G27" s="17"/>
      <c r="H27" s="17">
        <f>Berekeningen!K30</f>
        <v>3070</v>
      </c>
    </row>
    <row r="28" spans="1:8" x14ac:dyDescent="0.2">
      <c r="A28" s="17" t="s">
        <v>139</v>
      </c>
      <c r="B28" s="17"/>
      <c r="C28" s="17"/>
      <c r="D28" s="17"/>
      <c r="E28" s="17"/>
      <c r="F28" s="17"/>
      <c r="G28" s="17"/>
      <c r="H28" s="17">
        <f>IF(Berekeningen!K28&lt;=0,0,Berekeningen!K28)</f>
        <v>824</v>
      </c>
    </row>
    <row r="29" spans="1:8" x14ac:dyDescent="0.2">
      <c r="A29" s="17" t="str">
        <f>A24</f>
        <v/>
      </c>
      <c r="B29" s="17"/>
      <c r="C29" s="17"/>
      <c r="D29" s="17"/>
      <c r="E29" s="17"/>
      <c r="F29" s="17"/>
      <c r="G29" s="17"/>
      <c r="H29" s="17">
        <f>E24*-1</f>
        <v>0</v>
      </c>
    </row>
    <row r="30" spans="1:8" x14ac:dyDescent="0.2">
      <c r="A30" s="17" t="s">
        <v>109</v>
      </c>
      <c r="B30" s="17"/>
      <c r="C30" s="17"/>
      <c r="D30" s="17"/>
      <c r="E30" s="17"/>
      <c r="F30" s="17"/>
      <c r="G30" s="17"/>
      <c r="H30" s="17">
        <f>SUM(H27:H29)</f>
        <v>3894</v>
      </c>
    </row>
    <row r="31" spans="1:8" x14ac:dyDescent="0.2">
      <c r="A31" s="17"/>
      <c r="B31" s="17"/>
      <c r="C31" s="17"/>
      <c r="D31" s="17"/>
      <c r="E31" s="17"/>
      <c r="F31" s="17"/>
      <c r="G31" s="17"/>
      <c r="H31" s="45"/>
    </row>
    <row r="32" spans="1:8" x14ac:dyDescent="0.2">
      <c r="A32" s="17" t="s">
        <v>110</v>
      </c>
      <c r="B32" s="17"/>
      <c r="C32" s="17"/>
      <c r="D32" s="17"/>
      <c r="E32" s="17" t="s">
        <v>111</v>
      </c>
      <c r="F32" s="17"/>
      <c r="G32" s="17"/>
      <c r="H32" s="17">
        <f>Berekeningen!K21</f>
        <v>0</v>
      </c>
    </row>
    <row r="33" spans="1:8" x14ac:dyDescent="0.2">
      <c r="A33" s="17"/>
      <c r="B33" s="17"/>
      <c r="C33" s="17"/>
      <c r="D33" s="17"/>
      <c r="E33" s="17"/>
      <c r="F33" s="17"/>
      <c r="G33" s="17"/>
      <c r="H33" s="56"/>
    </row>
    <row r="34" spans="1:8" x14ac:dyDescent="0.2">
      <c r="A34" s="17" t="s">
        <v>112</v>
      </c>
      <c r="B34" s="17"/>
      <c r="C34" s="17"/>
      <c r="D34" s="17"/>
      <c r="E34" s="45"/>
      <c r="F34" s="17"/>
      <c r="G34" s="17"/>
      <c r="H34" s="17">
        <f>H32+H30</f>
        <v>3894</v>
      </c>
    </row>
    <row r="35" spans="1:8" x14ac:dyDescent="0.2">
      <c r="A35" s="17" t="s">
        <v>109</v>
      </c>
      <c r="B35" s="17"/>
      <c r="C35" s="17"/>
      <c r="D35" s="17"/>
      <c r="E35" s="17"/>
      <c r="F35" s="17"/>
      <c r="G35" s="17"/>
      <c r="H35" s="57">
        <f>H30</f>
        <v>3894</v>
      </c>
    </row>
    <row r="36" spans="1:8" x14ac:dyDescent="0.2">
      <c r="A36" s="17" t="s">
        <v>289</v>
      </c>
      <c r="B36" s="17"/>
      <c r="C36" s="17"/>
      <c r="D36" s="17"/>
      <c r="E36" s="17"/>
      <c r="F36" s="17"/>
      <c r="G36" s="17"/>
      <c r="H36" s="17">
        <f>H34-H35</f>
        <v>0</v>
      </c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ht="12.75" thickBot="1" x14ac:dyDescent="0.25">
      <c r="A38" s="17" t="s">
        <v>113</v>
      </c>
      <c r="B38" s="17"/>
      <c r="C38" s="17"/>
      <c r="D38" s="17"/>
      <c r="E38" s="17"/>
      <c r="F38" s="45"/>
      <c r="G38" s="45"/>
      <c r="H38" s="48">
        <f>IF(H36&lt;E25,H36,E25)</f>
        <v>0</v>
      </c>
    </row>
    <row r="39" spans="1:8" ht="12.75" thickTop="1" x14ac:dyDescent="0.2">
      <c r="A39" s="17"/>
      <c r="B39" s="17"/>
      <c r="C39" s="17"/>
      <c r="D39" s="17"/>
      <c r="E39" s="17"/>
      <c r="F39" s="17"/>
      <c r="G39" s="17"/>
      <c r="H39" s="17"/>
    </row>
    <row r="40" spans="1:8" s="59" customFormat="1" ht="11.25" x14ac:dyDescent="0.2">
      <c r="A40" s="59" t="str">
        <f>IF($E$57=" ",Ingave!$B$49,"")</f>
        <v>©Wyzer Academie</v>
      </c>
    </row>
    <row r="41" spans="1:8" s="59" customFormat="1" ht="11.25" x14ac:dyDescent="0.2"/>
    <row r="42" spans="1:8" ht="9" customHeight="1" x14ac:dyDescent="0.2">
      <c r="A42" s="33"/>
      <c r="B42" s="17"/>
      <c r="C42" s="17"/>
      <c r="D42" s="17"/>
      <c r="E42" s="17" t="str">
        <f>IF(Berekeningen!E311=0,"",Berekeningen!E294)</f>
        <v/>
      </c>
      <c r="F42" s="17"/>
      <c r="G42" s="17"/>
      <c r="H42" s="17"/>
    </row>
    <row r="43" spans="1:8" ht="14.25" x14ac:dyDescent="0.35">
      <c r="A43" s="17" t="str">
        <f>IF(Berekeningen!E311=0,"",Berekeningen!A297)</f>
        <v/>
      </c>
      <c r="B43" s="17"/>
      <c r="C43" s="17"/>
      <c r="D43" s="17"/>
      <c r="E43" s="60" t="str">
        <f>IF(Berekeningen!E311=0,"",Berekeningen!E297)</f>
        <v/>
      </c>
      <c r="F43" s="17" t="str">
        <f>F53</f>
        <v/>
      </c>
      <c r="G43" s="17"/>
      <c r="H43" s="17"/>
    </row>
    <row r="44" spans="1:8" x14ac:dyDescent="0.2">
      <c r="A44" s="17"/>
      <c r="B44" s="17"/>
      <c r="C44" s="17"/>
      <c r="D44" s="17"/>
      <c r="E44" s="17" t="str">
        <f>IF(Berekeningen!E311=0,"",Berekeningen!E298)</f>
        <v/>
      </c>
      <c r="F44" s="17"/>
      <c r="G44" s="17"/>
      <c r="H44" s="17"/>
    </row>
    <row r="45" spans="1:8" x14ac:dyDescent="0.2">
      <c r="A45" s="17"/>
      <c r="B45" s="17"/>
      <c r="C45" s="17"/>
      <c r="D45" s="17"/>
      <c r="E45" s="17"/>
      <c r="F45" s="17"/>
      <c r="G45" s="17"/>
      <c r="H45" s="17"/>
    </row>
    <row r="46" spans="1:8" x14ac:dyDescent="0.2">
      <c r="A46" s="17" t="str">
        <f>IF(Berekeningen!$E$311=0,"",Berekeningen!A300)</f>
        <v/>
      </c>
      <c r="B46" s="17"/>
      <c r="C46" s="17"/>
      <c r="D46" s="17"/>
      <c r="E46" s="17" t="str">
        <f>IF(Berekeningen!$E$311=0,"",Berekeningen!E300)</f>
        <v/>
      </c>
      <c r="F46" s="17"/>
      <c r="G46" s="17"/>
      <c r="H46" s="17"/>
    </row>
    <row r="47" spans="1:8" ht="14.25" x14ac:dyDescent="0.35">
      <c r="A47" s="17" t="str">
        <f>IF(Berekeningen!$E$311=0,"",Berekeningen!A301)</f>
        <v/>
      </c>
      <c r="B47" s="17"/>
      <c r="C47" s="17"/>
      <c r="D47" s="17"/>
      <c r="E47" s="60" t="str">
        <f>IF(Berekeningen!$E$311=0,"",Berekeningen!E301)</f>
        <v/>
      </c>
      <c r="F47" s="17"/>
      <c r="G47" s="17"/>
      <c r="H47" s="17"/>
    </row>
    <row r="48" spans="1:8" x14ac:dyDescent="0.2">
      <c r="A48" s="17" t="str">
        <f>IF(Berekeningen!$E$311=0,"",Berekeningen!A302)</f>
        <v/>
      </c>
      <c r="B48" s="17"/>
      <c r="C48" s="17"/>
      <c r="D48" s="17"/>
      <c r="E48" s="17" t="str">
        <f>IF(Berekeningen!$E$311=0,"",Berekeningen!E302)</f>
        <v/>
      </c>
      <c r="F48" s="17"/>
      <c r="G48" s="17"/>
      <c r="H48" s="17"/>
    </row>
    <row r="49" spans="1:8" x14ac:dyDescent="0.2">
      <c r="A49" s="17" t="str">
        <f>IF(Berekeningen!$E$311=0,"",Berekeningen!A303)</f>
        <v/>
      </c>
      <c r="B49" s="17"/>
      <c r="C49" s="17"/>
      <c r="D49" s="17"/>
      <c r="E49" s="17" t="str">
        <f>IF(Berekeningen!$E$311=0,"",Berekeningen!E303)</f>
        <v/>
      </c>
      <c r="F49" s="17"/>
      <c r="G49" s="17"/>
      <c r="H49" s="17"/>
    </row>
    <row r="50" spans="1:8" x14ac:dyDescent="0.2">
      <c r="A50" s="17"/>
      <c r="B50" s="17"/>
      <c r="C50" s="17"/>
      <c r="D50" s="17"/>
      <c r="E50" s="17"/>
      <c r="F50" s="17"/>
      <c r="G50" s="17"/>
      <c r="H50" s="17"/>
    </row>
    <row r="51" spans="1:8" x14ac:dyDescent="0.2">
      <c r="A51" s="17" t="str">
        <f>IF(Berekeningen!$E$311=0,"",Berekeningen!A305)</f>
        <v/>
      </c>
      <c r="B51" s="17"/>
      <c r="C51" s="17"/>
      <c r="D51" s="17"/>
      <c r="E51" s="17" t="str">
        <f>IF(Berekeningen!$E$311=0,"",Berekeningen!E305)</f>
        <v/>
      </c>
      <c r="F51" s="17"/>
      <c r="G51" s="17"/>
      <c r="H51" s="17"/>
    </row>
    <row r="52" spans="1:8" x14ac:dyDescent="0.2">
      <c r="A52" s="17"/>
      <c r="B52" s="17"/>
      <c r="C52" s="17"/>
      <c r="D52" s="17"/>
      <c r="E52" s="17"/>
      <c r="F52" s="17"/>
      <c r="G52" s="17"/>
      <c r="H52" s="17"/>
    </row>
    <row r="53" spans="1:8" x14ac:dyDescent="0.2">
      <c r="A53" s="17" t="str">
        <f>A43</f>
        <v/>
      </c>
      <c r="B53" s="17"/>
      <c r="C53" s="17"/>
      <c r="D53" s="17"/>
      <c r="E53" s="17" t="str">
        <f>IF(Berekeningen!$E$311=0,"",Berekeningen!E307)</f>
        <v/>
      </c>
      <c r="F53" s="17" t="str">
        <f>IF(Berekeningen!E311=0,"",Berekeningen!F307)</f>
        <v/>
      </c>
      <c r="G53" s="17"/>
      <c r="H53" s="17"/>
    </row>
    <row r="54" spans="1:8" x14ac:dyDescent="0.2">
      <c r="A54" s="134"/>
      <c r="B54" s="134"/>
      <c r="C54" s="47"/>
      <c r="D54" s="47"/>
      <c r="E54" s="17"/>
      <c r="F54" s="17"/>
      <c r="G54" s="17"/>
      <c r="H54" s="17"/>
    </row>
    <row r="55" spans="1:8" x14ac:dyDescent="0.2">
      <c r="A55" s="17"/>
      <c r="B55" s="17"/>
      <c r="C55" s="17"/>
      <c r="D55" s="17"/>
      <c r="E55" s="17"/>
      <c r="F55" s="17"/>
      <c r="G55" s="17"/>
      <c r="H55" s="17"/>
    </row>
    <row r="56" spans="1:8" x14ac:dyDescent="0.2">
      <c r="A56" s="17"/>
      <c r="B56" s="17"/>
      <c r="C56" s="17"/>
      <c r="D56" s="17"/>
      <c r="E56" s="17"/>
      <c r="F56" s="17"/>
      <c r="G56" s="17"/>
      <c r="H56" s="17"/>
    </row>
    <row r="57" spans="1:8" x14ac:dyDescent="0.2">
      <c r="A57" s="17" t="str">
        <f>IF(Berekeningen!E311=0," ","Te ontvangen AHK MVP")</f>
        <v xml:space="preserve"> </v>
      </c>
      <c r="B57" s="17"/>
      <c r="C57" s="17"/>
      <c r="D57" s="17"/>
      <c r="E57" s="61" t="str">
        <f>IF(Berekeningen!E311=0," ",Berekeningen!E311)</f>
        <v xml:space="preserve"> </v>
      </c>
      <c r="F57" s="17"/>
      <c r="G57" s="17"/>
      <c r="H57" s="17"/>
    </row>
    <row r="58" spans="1:8" x14ac:dyDescent="0.2">
      <c r="A58" s="17"/>
      <c r="B58" s="17"/>
      <c r="C58" s="17"/>
      <c r="D58" s="17"/>
      <c r="E58" s="17"/>
      <c r="F58" s="17"/>
      <c r="G58" s="17"/>
      <c r="H58" s="17"/>
    </row>
    <row r="59" spans="1:8" x14ac:dyDescent="0.2">
      <c r="A59" s="59" t="str">
        <f>IF($E$57=" ","",Ingave!$B$49)</f>
        <v/>
      </c>
      <c r="B59" s="17"/>
      <c r="C59" s="17"/>
      <c r="D59" s="17"/>
      <c r="E59" s="17"/>
      <c r="F59" s="17"/>
      <c r="G59" s="17"/>
      <c r="H59" s="17"/>
    </row>
    <row r="60" spans="1:8" x14ac:dyDescent="0.2">
      <c r="A60" s="59" t="str">
        <f>IF($E$57=" ","",Ingave!$B$50)</f>
        <v/>
      </c>
      <c r="B60" s="17"/>
      <c r="C60" s="17"/>
      <c r="D60" s="17"/>
      <c r="E60" s="17"/>
      <c r="F60" s="17"/>
      <c r="G60" s="17"/>
      <c r="H60" s="17"/>
    </row>
    <row r="61" spans="1:8" x14ac:dyDescent="0.2">
      <c r="A61" s="33"/>
      <c r="B61" s="17"/>
      <c r="C61" s="17"/>
      <c r="D61" s="17"/>
      <c r="E61" s="17"/>
      <c r="F61" s="17"/>
      <c r="G61" s="17"/>
      <c r="H61" s="17"/>
    </row>
    <row r="62" spans="1:8" ht="15.75" x14ac:dyDescent="0.25">
      <c r="A62" s="62"/>
      <c r="B62" s="63"/>
      <c r="C62" s="17"/>
      <c r="D62" s="17"/>
      <c r="E62" s="17"/>
      <c r="F62" s="17"/>
      <c r="G62" s="17"/>
      <c r="H62" s="17"/>
    </row>
    <row r="63" spans="1:8" ht="13.5" customHeight="1" x14ac:dyDescent="0.2">
      <c r="A63" s="64"/>
      <c r="B63" s="17"/>
      <c r="C63" s="17"/>
      <c r="D63" s="17"/>
      <c r="E63" s="17"/>
      <c r="F63" s="17"/>
      <c r="G63" s="17"/>
      <c r="H63" s="17"/>
    </row>
    <row r="64" spans="1:8" ht="7.5" customHeight="1" x14ac:dyDescent="0.2">
      <c r="A64" s="64"/>
      <c r="B64" s="17"/>
      <c r="C64" s="17"/>
      <c r="D64" s="17"/>
      <c r="E64" s="17"/>
      <c r="F64" s="17"/>
      <c r="G64" s="17"/>
      <c r="H64" s="17"/>
    </row>
  </sheetData>
  <sheetProtection algorithmName="SHA-512" hashValue="zUQFlRmrOb5+Ge4W4D5kVkE4ShqUnh8vt6yCD5mfxINswXsoyjpDnJ3rrsTMwiAnMXTRgo28XzCJ0GOieLhbNw==" saltValue="1gnUZNwfRYPA7abUHKvkaA==" spinCount="100000" sheet="1" selectLockedCells="1" selectUnlockedCells="1"/>
  <mergeCells count="5">
    <mergeCell ref="A2:H2"/>
    <mergeCell ref="A54:B54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I78"/>
  <sheetViews>
    <sheetView showGridLines="0" topLeftCell="A23" zoomScale="125" workbookViewId="0">
      <selection activeCell="E52" sqref="E52"/>
    </sheetView>
  </sheetViews>
  <sheetFormatPr defaultColWidth="13" defaultRowHeight="12" x14ac:dyDescent="0.2"/>
  <cols>
    <col min="1" max="1" width="13" style="41" customWidth="1"/>
    <col min="2" max="2" width="4.5703125" style="41" customWidth="1"/>
    <col min="3" max="3" width="13" style="40"/>
    <col min="4" max="4" width="2.42578125" style="40" customWidth="1"/>
    <col min="5" max="5" width="13" style="40" customWidth="1"/>
    <col min="6" max="16384" width="13" style="40"/>
  </cols>
  <sheetData>
    <row r="1" spans="1:9" ht="60.75" customHeight="1" thickBot="1" x14ac:dyDescent="0.25"/>
    <row r="2" spans="1:9" ht="33" thickTop="1" thickBot="1" x14ac:dyDescent="0.55000000000000004">
      <c r="A2" s="131" t="str">
        <f>Gegevens!A1&amp;Gegevens!A2&amp;" - Partner"</f>
        <v>Voorlopige Aanslag 2023 - Partner</v>
      </c>
      <c r="B2" s="132"/>
      <c r="C2" s="132"/>
      <c r="D2" s="132"/>
      <c r="E2" s="132"/>
      <c r="F2" s="132"/>
      <c r="G2" s="132"/>
      <c r="H2" s="133"/>
      <c r="I2" s="17"/>
    </row>
    <row r="3" spans="1:9" ht="12.75" thickTop="1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">
      <c r="A4" s="17" t="s">
        <v>11</v>
      </c>
      <c r="C4" s="135">
        <f>Ingave!C7</f>
        <v>0</v>
      </c>
      <c r="D4" s="136"/>
      <c r="E4" s="136"/>
      <c r="F4" s="136"/>
      <c r="G4" s="137"/>
      <c r="H4" s="17"/>
      <c r="I4" s="17"/>
    </row>
    <row r="5" spans="1:9" x14ac:dyDescent="0.2">
      <c r="A5" s="17" t="s">
        <v>12</v>
      </c>
      <c r="B5" s="17"/>
      <c r="C5" s="135">
        <f>Ingave!C8</f>
        <v>0</v>
      </c>
      <c r="D5" s="136"/>
      <c r="E5" s="136"/>
      <c r="F5" s="136"/>
      <c r="G5" s="137"/>
      <c r="H5" s="17"/>
      <c r="I5" s="17"/>
    </row>
    <row r="6" spans="1:9" x14ac:dyDescent="0.2">
      <c r="A6" s="17" t="s">
        <v>13</v>
      </c>
      <c r="B6" s="17"/>
      <c r="C6" s="44">
        <f>Ingave!C9</f>
        <v>0</v>
      </c>
      <c r="D6" s="17"/>
      <c r="E6" s="135">
        <f>Ingave!E9</f>
        <v>0</v>
      </c>
      <c r="F6" s="136"/>
      <c r="G6" s="137"/>
      <c r="H6" s="17"/>
    </row>
    <row r="7" spans="1:9" x14ac:dyDescent="0.2">
      <c r="A7" s="17"/>
      <c r="B7" s="17"/>
      <c r="C7" s="17"/>
      <c r="D7" s="17"/>
      <c r="E7" s="17"/>
      <c r="F7" s="17"/>
      <c r="G7" s="17"/>
      <c r="H7" s="17"/>
      <c r="I7" s="17"/>
    </row>
    <row r="8" spans="1:9" x14ac:dyDescent="0.2">
      <c r="A8" s="17" t="s">
        <v>29</v>
      </c>
      <c r="B8" s="17"/>
      <c r="C8" s="67">
        <f>Ingave!C11</f>
        <v>0</v>
      </c>
      <c r="D8" s="68"/>
      <c r="E8" s="42"/>
      <c r="F8" s="42"/>
      <c r="G8" s="43"/>
      <c r="H8" s="17"/>
      <c r="I8" s="17"/>
    </row>
    <row r="9" spans="1:9" x14ac:dyDescent="0.2">
      <c r="A9" s="17"/>
      <c r="B9" s="17"/>
      <c r="C9" s="17"/>
      <c r="D9" s="17"/>
      <c r="E9" s="17"/>
      <c r="F9" s="17"/>
      <c r="G9" s="17"/>
      <c r="H9" s="17"/>
      <c r="I9" s="17"/>
    </row>
    <row r="10" spans="1:9" x14ac:dyDescent="0.2">
      <c r="A10" s="17" t="s">
        <v>99</v>
      </c>
      <c r="B10" s="17"/>
      <c r="C10" s="17"/>
      <c r="D10" s="17"/>
      <c r="E10" s="45" t="str">
        <f>IF(Ingave!C20=0,"","Leeftijd")</f>
        <v>Leeftijd</v>
      </c>
      <c r="F10" s="46">
        <f>IF(Berekeningen!F14=Berekeningen!D4-1," ",Berekeningen!F14)</f>
        <v>62</v>
      </c>
      <c r="G10" s="17" t="str">
        <f>IF(Ingave!C20=0,"","(op 31 december "&amp;Gegevens!A2-1&amp;")")</f>
        <v>(op 31 december 2022)</v>
      </c>
      <c r="H10" s="17"/>
      <c r="I10" s="17"/>
    </row>
    <row r="11" spans="1:9" x14ac:dyDescent="0.2">
      <c r="A11" s="17"/>
      <c r="B11" s="17"/>
      <c r="C11" s="17"/>
      <c r="D11" s="17"/>
      <c r="E11" s="45" t="str">
        <f>IF(Ingave!C20=0,"","Percentage")</f>
        <v>Percentage</v>
      </c>
      <c r="F11" s="47">
        <f>IF(Ingave!C20=0,"",Gegevens!E5)</f>
        <v>0.36930000000000002</v>
      </c>
      <c r="G11" s="17"/>
      <c r="H11" s="17"/>
      <c r="I11" s="17"/>
    </row>
    <row r="12" spans="1:9" x14ac:dyDescent="0.2">
      <c r="A12" s="17"/>
      <c r="B12" s="17"/>
      <c r="C12" s="17"/>
      <c r="D12" s="17"/>
      <c r="E12" s="45"/>
      <c r="F12" s="17"/>
      <c r="G12" s="17"/>
      <c r="H12" s="17"/>
      <c r="I12" s="17"/>
    </row>
    <row r="13" spans="1:9" x14ac:dyDescent="0.2">
      <c r="A13" s="45" t="s">
        <v>100</v>
      </c>
      <c r="B13" s="45"/>
      <c r="C13" s="45"/>
      <c r="D13" s="45"/>
      <c r="E13" s="17"/>
      <c r="F13" s="17"/>
      <c r="G13" s="17"/>
      <c r="H13" s="17"/>
      <c r="I13" s="17"/>
    </row>
    <row r="14" spans="1:9" x14ac:dyDescent="0.2">
      <c r="A14" s="47">
        <f>Gegevens!F5</f>
        <v>0.36930000000000002</v>
      </c>
      <c r="B14" s="17" t="s">
        <v>19</v>
      </c>
      <c r="C14" s="17">
        <f>Berekeningen!F62</f>
        <v>8000</v>
      </c>
      <c r="D14" s="17"/>
      <c r="E14" s="17">
        <f>ROUND(A14*C14,2)</f>
        <v>2954.4</v>
      </c>
      <c r="F14" s="17" t="s">
        <v>101</v>
      </c>
      <c r="G14" s="17"/>
      <c r="H14" s="17"/>
      <c r="I14" s="17"/>
    </row>
    <row r="15" spans="1:9" x14ac:dyDescent="0.2">
      <c r="A15" s="47">
        <f>Gegevens!F6</f>
        <v>0.495</v>
      </c>
      <c r="B15" s="17" t="s">
        <v>19</v>
      </c>
      <c r="C15" s="17">
        <f>Berekeningen!F63</f>
        <v>0</v>
      </c>
      <c r="D15" s="17"/>
      <c r="E15" s="17">
        <f>ROUND(A15*C15,2)</f>
        <v>0</v>
      </c>
      <c r="F15" s="17" t="s">
        <v>102</v>
      </c>
      <c r="G15" s="17"/>
      <c r="H15" s="17"/>
      <c r="I15" s="17"/>
    </row>
    <row r="16" spans="1:9" x14ac:dyDescent="0.2">
      <c r="A16" s="47">
        <f>Gegevens!F7</f>
        <v>0</v>
      </c>
      <c r="B16" s="17" t="s">
        <v>19</v>
      </c>
      <c r="C16" s="17">
        <f>Berekeningen!F64</f>
        <v>0</v>
      </c>
      <c r="D16" s="17"/>
      <c r="E16" s="17">
        <f>ROUND(A16*C16,2)</f>
        <v>0</v>
      </c>
      <c r="F16" s="17" t="s">
        <v>103</v>
      </c>
      <c r="G16" s="17"/>
      <c r="H16" s="17"/>
      <c r="I16" s="17"/>
    </row>
    <row r="17" spans="1:9" x14ac:dyDescent="0.2">
      <c r="A17" s="45"/>
      <c r="B17" s="45"/>
      <c r="C17" s="45"/>
      <c r="D17" s="45"/>
      <c r="E17" s="17"/>
      <c r="F17" s="17"/>
      <c r="G17" s="17"/>
      <c r="H17" s="17"/>
      <c r="I17" s="17"/>
    </row>
    <row r="18" spans="1:9" x14ac:dyDescent="0.2">
      <c r="A18" s="47"/>
      <c r="B18" s="17"/>
      <c r="C18" s="17"/>
      <c r="D18" s="17"/>
      <c r="E18" s="17"/>
      <c r="F18" s="17"/>
      <c r="G18" s="17"/>
      <c r="H18" s="17"/>
      <c r="I18" s="17"/>
    </row>
    <row r="19" spans="1:9" x14ac:dyDescent="0.2">
      <c r="A19" s="17"/>
      <c r="B19" s="17"/>
      <c r="C19" s="17"/>
      <c r="D19" s="17"/>
      <c r="E19" s="17"/>
      <c r="F19" s="17"/>
      <c r="G19" s="17"/>
      <c r="H19" s="45"/>
      <c r="I19" s="17"/>
    </row>
    <row r="20" spans="1:9" ht="12.75" thickBot="1" x14ac:dyDescent="0.25">
      <c r="A20" s="17" t="s">
        <v>104</v>
      </c>
      <c r="B20" s="17"/>
      <c r="C20" s="17"/>
      <c r="D20" s="17"/>
      <c r="E20" s="48">
        <f>CEILING(SUM(E14:E18),1)</f>
        <v>2955</v>
      </c>
      <c r="F20" s="17"/>
      <c r="G20" s="17"/>
      <c r="H20" s="17"/>
      <c r="I20" s="17"/>
    </row>
    <row r="21" spans="1:9" ht="13.5" thickTop="1" thickBot="1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2.75" thickTop="1" x14ac:dyDescent="0.2">
      <c r="A22" s="49" t="s">
        <v>105</v>
      </c>
      <c r="B22" s="50"/>
      <c r="C22" s="50"/>
      <c r="D22" s="50"/>
      <c r="E22" s="51"/>
      <c r="F22" s="17"/>
      <c r="G22" s="17"/>
      <c r="H22" s="17"/>
      <c r="I22" s="17"/>
    </row>
    <row r="23" spans="1:9" x14ac:dyDescent="0.2">
      <c r="A23" s="52" t="s">
        <v>104</v>
      </c>
      <c r="B23" s="17"/>
      <c r="C23" s="17"/>
      <c r="D23" s="17"/>
      <c r="E23" s="53">
        <f>$E$20</f>
        <v>2955</v>
      </c>
      <c r="F23" s="17"/>
      <c r="G23" s="17"/>
      <c r="H23" s="17"/>
      <c r="I23" s="17"/>
    </row>
    <row r="24" spans="1:9" x14ac:dyDescent="0.2">
      <c r="A24" s="52" t="s">
        <v>1</v>
      </c>
      <c r="B24" s="17"/>
      <c r="C24" s="17"/>
      <c r="D24" s="17"/>
      <c r="E24" s="53">
        <f>$H$29*-1</f>
        <v>-3070</v>
      </c>
      <c r="F24" s="17"/>
      <c r="G24" s="17"/>
      <c r="H24" s="17"/>
      <c r="I24" s="17"/>
    </row>
    <row r="25" spans="1:9" x14ac:dyDescent="0.2">
      <c r="A25" s="52" t="s">
        <v>106</v>
      </c>
      <c r="B25" s="17"/>
      <c r="C25" s="17"/>
      <c r="D25" s="17"/>
      <c r="E25" s="53">
        <f>$H$30*-1</f>
        <v>-412</v>
      </c>
      <c r="F25" s="17"/>
      <c r="G25" s="17"/>
      <c r="H25" s="17"/>
      <c r="I25" s="17"/>
    </row>
    <row r="26" spans="1:9" x14ac:dyDescent="0.2">
      <c r="A26" s="52" t="str">
        <f>IF(Berekeningen!A153="Ja","Jonggehandicaptenkorting"," ")</f>
        <v xml:space="preserve"> </v>
      </c>
      <c r="B26" s="17"/>
      <c r="C26" s="17"/>
      <c r="D26" s="17"/>
      <c r="E26" s="69">
        <f>IF(Berekeningen!C153&gt;0,Berekeningen!C153*-1,Berekeningen!C153)</f>
        <v>0</v>
      </c>
      <c r="F26" s="17"/>
      <c r="G26" s="17"/>
      <c r="H26" s="17"/>
      <c r="I26" s="17"/>
    </row>
    <row r="27" spans="1:9" ht="12.75" thickBot="1" x14ac:dyDescent="0.25">
      <c r="A27" s="54" t="s">
        <v>107</v>
      </c>
      <c r="B27" s="48"/>
      <c r="C27" s="48"/>
      <c r="D27" s="48"/>
      <c r="E27" s="55">
        <f>IF(SUM(E23:E26)&lt;0,0,SUM(E23:E26))</f>
        <v>0</v>
      </c>
      <c r="F27" s="17"/>
      <c r="G27" s="17"/>
      <c r="H27" s="17"/>
      <c r="I27" s="17"/>
    </row>
    <row r="28" spans="1:9" ht="12.75" thickTop="1" x14ac:dyDescent="0.2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">
      <c r="A29" s="17" t="s">
        <v>1</v>
      </c>
      <c r="B29" s="17"/>
      <c r="C29" s="17"/>
      <c r="D29" s="17"/>
      <c r="E29" s="17"/>
      <c r="F29" s="17"/>
      <c r="G29" s="17"/>
      <c r="H29" s="17">
        <f>Berekeningen!K31</f>
        <v>3070</v>
      </c>
      <c r="I29" s="17"/>
    </row>
    <row r="30" spans="1:9" x14ac:dyDescent="0.2">
      <c r="A30" s="17" t="s">
        <v>108</v>
      </c>
      <c r="B30" s="17"/>
      <c r="C30" s="17"/>
      <c r="D30" s="17"/>
      <c r="E30" s="17"/>
      <c r="F30" s="17"/>
      <c r="G30" s="17"/>
      <c r="H30" s="17">
        <f>Berekeningen!K29</f>
        <v>412</v>
      </c>
      <c r="I30" s="17"/>
    </row>
    <row r="31" spans="1:9" x14ac:dyDescent="0.2">
      <c r="A31" s="17" t="str">
        <f>A26</f>
        <v xml:space="preserve"> </v>
      </c>
      <c r="B31" s="17"/>
      <c r="C31" s="17"/>
      <c r="D31" s="17"/>
      <c r="E31" s="17"/>
      <c r="F31" s="17"/>
      <c r="G31" s="17"/>
      <c r="H31" s="57">
        <f>E26*-1</f>
        <v>0</v>
      </c>
      <c r="I31" s="17"/>
    </row>
    <row r="32" spans="1:9" x14ac:dyDescent="0.2">
      <c r="A32" s="17" t="s">
        <v>109</v>
      </c>
      <c r="B32" s="17"/>
      <c r="C32" s="17"/>
      <c r="D32" s="17"/>
      <c r="E32" s="17"/>
      <c r="F32" s="17"/>
      <c r="G32" s="17"/>
      <c r="H32" s="17">
        <f>SUM(H29:H31)</f>
        <v>3482</v>
      </c>
      <c r="I32" s="17"/>
    </row>
    <row r="33" spans="1:9" x14ac:dyDescent="0.2">
      <c r="A33" s="17"/>
      <c r="B33" s="17"/>
      <c r="C33" s="17"/>
      <c r="D33" s="17"/>
      <c r="E33" s="17"/>
      <c r="F33" s="17"/>
      <c r="G33" s="17"/>
      <c r="H33" s="45"/>
      <c r="I33" s="17"/>
    </row>
    <row r="34" spans="1:9" x14ac:dyDescent="0.2">
      <c r="A34" s="134" t="s">
        <v>114</v>
      </c>
      <c r="B34" s="134"/>
      <c r="C34" s="134"/>
      <c r="D34" s="134"/>
      <c r="E34" s="134"/>
      <c r="F34" s="17"/>
      <c r="G34" s="17"/>
      <c r="H34" s="17">
        <f>Berekeningen!K22</f>
        <v>0</v>
      </c>
      <c r="I34" s="17"/>
    </row>
    <row r="35" spans="1:9" x14ac:dyDescent="0.2">
      <c r="A35" s="17"/>
      <c r="B35" s="17"/>
      <c r="C35" s="17"/>
      <c r="D35" s="17"/>
      <c r="E35" s="17"/>
      <c r="F35" s="17"/>
      <c r="G35" s="17"/>
      <c r="H35" s="70"/>
      <c r="I35" s="17"/>
    </row>
    <row r="36" spans="1:9" x14ac:dyDescent="0.2">
      <c r="A36" s="17" t="s">
        <v>112</v>
      </c>
      <c r="B36" s="17"/>
      <c r="C36" s="17"/>
      <c r="D36" s="17"/>
      <c r="E36" s="45"/>
      <c r="F36" s="17"/>
      <c r="G36" s="17"/>
      <c r="H36" s="17">
        <f>H34+H32+H35</f>
        <v>3482</v>
      </c>
      <c r="I36" s="17"/>
    </row>
    <row r="37" spans="1:9" x14ac:dyDescent="0.2">
      <c r="A37" s="17" t="s">
        <v>109</v>
      </c>
      <c r="B37" s="17"/>
      <c r="C37" s="17"/>
      <c r="D37" s="17"/>
      <c r="E37" s="17"/>
      <c r="F37" s="17"/>
      <c r="G37" s="17"/>
      <c r="H37" s="57">
        <f>H32</f>
        <v>3482</v>
      </c>
      <c r="I37" s="17"/>
    </row>
    <row r="38" spans="1:9" x14ac:dyDescent="0.2">
      <c r="A38" s="17" t="s">
        <v>289</v>
      </c>
      <c r="B38" s="17"/>
      <c r="C38" s="17"/>
      <c r="D38" s="17"/>
      <c r="E38" s="17"/>
      <c r="F38" s="17"/>
      <c r="G38" s="17"/>
      <c r="H38" s="17">
        <f>H36-H37</f>
        <v>0</v>
      </c>
      <c r="I38" s="17"/>
    </row>
    <row r="39" spans="1:9" x14ac:dyDescent="0.2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 thickBot="1" x14ac:dyDescent="0.25">
      <c r="A40" s="17" t="s">
        <v>113</v>
      </c>
      <c r="B40" s="17"/>
      <c r="C40" s="17"/>
      <c r="D40" s="17"/>
      <c r="E40" s="17"/>
      <c r="F40" s="45"/>
      <c r="G40" s="45"/>
      <c r="H40" s="58">
        <f>E61</f>
        <v>115</v>
      </c>
      <c r="I40" s="17">
        <f>E27</f>
        <v>0</v>
      </c>
    </row>
    <row r="41" spans="1:9" ht="12.75" thickTop="1" x14ac:dyDescent="0.2">
      <c r="A41" s="17"/>
      <c r="B41" s="17"/>
      <c r="C41" s="17"/>
      <c r="D41" s="17"/>
      <c r="E41" s="17"/>
      <c r="F41" s="45"/>
      <c r="G41" s="45"/>
      <c r="I41" s="17"/>
    </row>
    <row r="42" spans="1:9" x14ac:dyDescent="0.2">
      <c r="A42" s="59" t="str">
        <f>IF(E61&lt;&gt;"","",Ingave!$B$49)</f>
        <v/>
      </c>
      <c r="B42" s="17"/>
      <c r="C42" s="17"/>
      <c r="D42" s="17"/>
      <c r="E42" s="17"/>
      <c r="F42" s="17"/>
      <c r="G42" s="17"/>
      <c r="H42" s="17"/>
      <c r="I42" s="17"/>
    </row>
    <row r="43" spans="1:9" x14ac:dyDescent="0.2">
      <c r="A43" s="59"/>
      <c r="B43" s="17"/>
      <c r="C43" s="17"/>
      <c r="D43" s="17"/>
      <c r="E43" s="17"/>
      <c r="F43" s="17"/>
      <c r="G43" s="17"/>
      <c r="H43" s="17"/>
      <c r="I43" s="17"/>
    </row>
    <row r="44" spans="1:9" x14ac:dyDescent="0.2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2">
      <c r="A45" s="71" t="str">
        <f>IF(Berekeningen!$E$288=0,"",Berekeningen!A270)</f>
        <v>Berekening Algemene Heffingskorting Minstverdiende Partner</v>
      </c>
      <c r="B45" s="17"/>
      <c r="C45" s="17"/>
      <c r="D45" s="17"/>
      <c r="E45" s="17"/>
      <c r="F45" s="17"/>
      <c r="G45" s="17"/>
      <c r="H45" s="17"/>
      <c r="I45" s="17"/>
    </row>
    <row r="46" spans="1:9" x14ac:dyDescent="0.2">
      <c r="A46" s="17" t="str">
        <f>IF(Berekeningen!$E$288=0,"",Berekeningen!A271)</f>
        <v>Totaal belasting</v>
      </c>
      <c r="B46" s="17"/>
      <c r="C46" s="17"/>
      <c r="D46" s="17"/>
      <c r="E46" s="17">
        <f>IF(Berekeningen!$E$288=0,"",Berekeningen!E271)</f>
        <v>2955</v>
      </c>
      <c r="F46" s="17"/>
      <c r="G46" s="17"/>
      <c r="H46" s="17"/>
      <c r="I46" s="17"/>
    </row>
    <row r="47" spans="1:9" ht="14.25" x14ac:dyDescent="0.35">
      <c r="A47" s="17" t="str">
        <f>IF(Berekeningen!$E$288=0,"",Berekeningen!A274)</f>
        <v>Algemene Heffingskorting</v>
      </c>
      <c r="B47" s="17"/>
      <c r="C47" s="17"/>
      <c r="D47" s="17"/>
      <c r="E47" s="60">
        <f>IF(Berekeningen!$E$288=0,"",Berekeningen!E274)</f>
        <v>3070</v>
      </c>
      <c r="F47" s="17" t="str">
        <f>F57</f>
        <v>(incl. afbouw)</v>
      </c>
      <c r="G47" s="17"/>
      <c r="H47" s="17"/>
      <c r="I47" s="17"/>
    </row>
    <row r="48" spans="1:9" x14ac:dyDescent="0.2">
      <c r="A48" s="17"/>
      <c r="B48" s="17"/>
      <c r="C48" s="17"/>
      <c r="D48" s="17"/>
      <c r="E48" s="17">
        <f>IF(Berekeningen!$E$288=0,"",Berekeningen!E275)</f>
        <v>115</v>
      </c>
      <c r="F48" s="17"/>
      <c r="G48" s="17"/>
      <c r="H48" s="17"/>
      <c r="I48" s="17"/>
    </row>
    <row r="49" spans="1:9" x14ac:dyDescent="0.2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2">
      <c r="A50" s="17" t="str">
        <f>IF(Berekeningen!$E$288=0,"",Berekeningen!A277)</f>
        <v>Loonheffing cliënt</v>
      </c>
      <c r="B50" s="17"/>
      <c r="C50" s="17"/>
      <c r="D50" s="17"/>
      <c r="E50" s="17">
        <f>IF(Berekeningen!$E$288=0,"",'VT cliënt'!E25)</f>
        <v>1439</v>
      </c>
      <c r="F50" s="17"/>
      <c r="G50" s="17"/>
      <c r="H50" s="17"/>
      <c r="I50" s="17"/>
    </row>
    <row r="51" spans="1:9" ht="14.25" x14ac:dyDescent="0.35">
      <c r="A51" s="17" t="str">
        <f>IF(Berekeningen!$E$288=0,"",Berekeningen!A278)</f>
        <v>Voorlopige teruggave cliënt</v>
      </c>
      <c r="B51" s="17"/>
      <c r="C51" s="17"/>
      <c r="D51" s="17"/>
      <c r="E51" s="60">
        <f>IF(Berekeningen!$E$288=0,"",Berekeningen!E278)</f>
        <v>0</v>
      </c>
      <c r="F51" s="17"/>
      <c r="G51" s="17"/>
      <c r="H51" s="17"/>
      <c r="I51" s="17"/>
    </row>
    <row r="52" spans="1:9" x14ac:dyDescent="0.2">
      <c r="A52" s="17" t="str">
        <f>IF(Berekeningen!$E$288=0,"",Berekeningen!A279)</f>
        <v>Saldo loonheffing cliënt</v>
      </c>
      <c r="B52" s="17"/>
      <c r="C52" s="17"/>
      <c r="D52" s="17"/>
      <c r="E52" s="17">
        <f>IF(Berekeningen!$E$288=0,"",Berekeningen!E279)</f>
        <v>1439</v>
      </c>
      <c r="F52" s="17"/>
      <c r="G52" s="17"/>
      <c r="H52" s="17"/>
      <c r="I52" s="17"/>
    </row>
    <row r="53" spans="1:9" x14ac:dyDescent="0.2">
      <c r="A53" s="17" t="str">
        <f>IF(Berekeningen!$E$288=0,"",Berekeningen!A280)</f>
        <v>Beschikbaar voor AHK MVP</v>
      </c>
      <c r="B53" s="17"/>
      <c r="C53" s="17"/>
      <c r="D53" s="17"/>
      <c r="E53" s="17">
        <f>IF(Berekeningen!$E$288=0,"",Berekeningen!E280)</f>
        <v>1439</v>
      </c>
      <c r="F53" s="17"/>
      <c r="G53" s="17"/>
      <c r="H53" s="17"/>
      <c r="I53" s="17"/>
    </row>
    <row r="54" spans="1:9" x14ac:dyDescent="0.2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2">
      <c r="A55" s="17" t="str">
        <f>IF(Berekeningen!$E$288=0,"",Berekeningen!A282)</f>
        <v>Berekende AHK MVP</v>
      </c>
      <c r="B55" s="17"/>
      <c r="C55" s="17"/>
      <c r="D55" s="17"/>
      <c r="E55" s="17">
        <f>IF(Berekeningen!$E$288=0,"",Berekeningen!E282)</f>
        <v>115</v>
      </c>
      <c r="F55" s="17"/>
      <c r="G55" s="17"/>
      <c r="H55" s="17"/>
      <c r="I55" s="17"/>
    </row>
    <row r="56" spans="1:9" x14ac:dyDescent="0.2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">
      <c r="A57" s="17" t="str">
        <f>IF(Berekeningen!$E$288=0,"",Berekeningen!A284)</f>
        <v>Algemene Heffingskorting</v>
      </c>
      <c r="B57" s="17"/>
      <c r="C57" s="17"/>
      <c r="D57" s="17"/>
      <c r="E57" s="17">
        <f>IF(Berekeningen!$E$288=0,"",Berekeningen!E284)</f>
        <v>3070</v>
      </c>
      <c r="F57" s="17" t="str">
        <f>IF(Berekeningen!E288=0,"",Berekeningen!F284)</f>
        <v>(incl. afbouw)</v>
      </c>
      <c r="G57" s="17"/>
      <c r="H57" s="17"/>
      <c r="I57" s="17"/>
    </row>
    <row r="58" spans="1:9" x14ac:dyDescent="0.2">
      <c r="A58" s="134"/>
      <c r="B58" s="134"/>
      <c r="C58" s="47"/>
      <c r="D58" s="47"/>
      <c r="E58" s="17"/>
      <c r="F58" s="17"/>
      <c r="G58" s="17"/>
      <c r="H58" s="17"/>
      <c r="I58" s="17"/>
    </row>
    <row r="59" spans="1:9" x14ac:dyDescent="0.2">
      <c r="A59" s="17"/>
      <c r="B59" s="17"/>
      <c r="C59" s="17"/>
      <c r="D59" s="17"/>
      <c r="E59" s="17"/>
      <c r="F59" s="17"/>
      <c r="G59" s="17"/>
      <c r="H59" s="17"/>
      <c r="I59" s="17"/>
    </row>
    <row r="60" spans="1:9" x14ac:dyDescent="0.2">
      <c r="A60" s="17"/>
      <c r="B60" s="17"/>
      <c r="C60" s="17"/>
      <c r="D60" s="17"/>
      <c r="E60" s="17"/>
      <c r="F60" s="17"/>
      <c r="G60" s="17"/>
      <c r="H60" s="17"/>
      <c r="I60" s="17"/>
    </row>
    <row r="61" spans="1:9" x14ac:dyDescent="0.2">
      <c r="A61" s="17" t="str">
        <f>IF(Berekeningen!E288=0," ","Te ontvangen AHK MVP")</f>
        <v>Te ontvangen AHK MVP</v>
      </c>
      <c r="B61" s="17"/>
      <c r="C61" s="17"/>
      <c r="D61" s="17"/>
      <c r="E61" s="61">
        <f>IF(Berekeningen!E288=0,"",Berekeningen!E288)</f>
        <v>115</v>
      </c>
      <c r="F61" s="17"/>
      <c r="G61" s="17"/>
      <c r="H61" s="17"/>
      <c r="I61" s="17"/>
    </row>
    <row r="62" spans="1:9" x14ac:dyDescent="0.2">
      <c r="A62" s="17"/>
      <c r="B62" s="17"/>
      <c r="C62" s="17"/>
      <c r="D62" s="17"/>
      <c r="E62" s="61"/>
      <c r="F62" s="17"/>
      <c r="G62" s="17"/>
      <c r="H62" s="17"/>
      <c r="I62" s="17"/>
    </row>
    <row r="63" spans="1:9" x14ac:dyDescent="0.2">
      <c r="A63" s="59" t="str">
        <f>IF(E61&lt;=0,"",IF(E61="","",Ingave!$B$49))</f>
        <v>©Wyzer Academie</v>
      </c>
      <c r="B63" s="17"/>
      <c r="C63" s="17"/>
      <c r="D63" s="17"/>
      <c r="E63" s="17"/>
      <c r="F63" s="17"/>
      <c r="G63" s="17"/>
      <c r="H63" s="17"/>
      <c r="I63" s="17"/>
    </row>
    <row r="64" spans="1:9" ht="9" customHeight="1" x14ac:dyDescent="0.2">
      <c r="A64" s="59">
        <f>IF(E61&lt;=0,"",IF(E61="","",Ingave!$B$50))</f>
        <v>0</v>
      </c>
      <c r="B64" s="17"/>
      <c r="C64" s="17"/>
      <c r="D64" s="17"/>
      <c r="E64" s="17"/>
      <c r="F64" s="17"/>
      <c r="G64" s="17"/>
      <c r="H64" s="17"/>
      <c r="I64" s="17"/>
    </row>
    <row r="65" spans="1:9" ht="14.25" customHeight="1" x14ac:dyDescent="0.25">
      <c r="A65" s="17"/>
      <c r="B65" s="62"/>
      <c r="C65" s="17"/>
      <c r="D65" s="17"/>
      <c r="F65" s="17"/>
      <c r="G65" s="17"/>
      <c r="H65" s="17"/>
      <c r="I65" s="17"/>
    </row>
    <row r="66" spans="1:9" x14ac:dyDescent="0.2">
      <c r="A66" s="17"/>
      <c r="B66" s="17"/>
      <c r="C66" s="17"/>
      <c r="D66" s="17"/>
      <c r="E66" s="17"/>
      <c r="F66" s="17"/>
      <c r="G66" s="17"/>
      <c r="H66" s="17"/>
      <c r="I66" s="17"/>
    </row>
    <row r="67" spans="1:9" x14ac:dyDescent="0.2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9.75" customHeight="1" x14ac:dyDescent="0.2">
      <c r="A68" s="64"/>
      <c r="B68" s="17"/>
      <c r="C68" s="17"/>
      <c r="D68" s="17"/>
      <c r="E68" s="17"/>
      <c r="F68" s="17"/>
      <c r="G68" s="17"/>
      <c r="H68" s="17"/>
      <c r="I68" s="17"/>
    </row>
    <row r="69" spans="1:9" ht="9.75" customHeight="1" x14ac:dyDescent="0.2">
      <c r="A69" s="64"/>
      <c r="B69" s="17"/>
      <c r="C69" s="17"/>
      <c r="D69" s="17"/>
      <c r="E69" s="17"/>
      <c r="F69" s="17"/>
      <c r="G69" s="17"/>
      <c r="H69" s="17"/>
      <c r="I69" s="17"/>
    </row>
    <row r="70" spans="1:9" x14ac:dyDescent="0.2">
      <c r="A70" s="17"/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7"/>
      <c r="B71" s="17"/>
      <c r="C71" s="17"/>
      <c r="D71" s="17"/>
      <c r="E71" s="17"/>
      <c r="F71" s="17"/>
      <c r="G71" s="17"/>
      <c r="H71" s="17"/>
    </row>
    <row r="78" spans="1:9" ht="15.75" x14ac:dyDescent="0.25">
      <c r="C78" s="62"/>
      <c r="D78" s="62"/>
    </row>
  </sheetData>
  <sheetProtection algorithmName="SHA-512" hashValue="4Zvt9QSBUGt1bvsSz/6t2mZdo8i1PpQVfD0tbNkrIXNKS4+BqzfDKx7mc37q3qKMeNvq9T3QztR7aLgI1Fw4lQ==" saltValue="Zs29nLc3faQPkJE35g05Mw==" spinCount="100000" sheet="1" selectLockedCells="1" selectUnlockedCells="1"/>
  <mergeCells count="6">
    <mergeCell ref="A58:B58"/>
    <mergeCell ref="A34:E34"/>
    <mergeCell ref="A2:H2"/>
    <mergeCell ref="C4:G4"/>
    <mergeCell ref="C5:G5"/>
    <mergeCell ref="E6:G6"/>
  </mergeCells>
  <phoneticPr fontId="0" type="noConversion"/>
  <pageMargins left="0.7" right="0.7" top="0.75" bottom="0.75" header="0.3" footer="0.3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1:N43"/>
  <sheetViews>
    <sheetView showGridLines="0" topLeftCell="A4" zoomScale="125" workbookViewId="0">
      <selection activeCell="D36" sqref="D36"/>
    </sheetView>
  </sheetViews>
  <sheetFormatPr defaultColWidth="9.140625" defaultRowHeight="15" x14ac:dyDescent="0.25"/>
  <cols>
    <col min="1" max="1" width="8.5703125" style="16" customWidth="1"/>
    <col min="2" max="2" width="9.140625" style="16"/>
    <col min="3" max="3" width="10.140625" style="16" bestFit="1" customWidth="1"/>
    <col min="4" max="4" width="11.7109375" style="16" bestFit="1" customWidth="1"/>
    <col min="5" max="7" width="9.140625" style="16"/>
    <col min="8" max="8" width="10.7109375" style="16" bestFit="1" customWidth="1"/>
    <col min="9" max="9" width="9.140625" style="16"/>
    <col min="10" max="10" width="12.7109375" style="16" bestFit="1" customWidth="1"/>
    <col min="11" max="13" width="9.140625" style="16"/>
    <col min="14" max="14" width="10.140625" style="16" customWidth="1"/>
    <col min="15" max="16384" width="9.140625" style="16"/>
  </cols>
  <sheetData>
    <row r="1" spans="1:14" ht="68.25" customHeight="1" thickBot="1" x14ac:dyDescent="0.3"/>
    <row r="2" spans="1:14" ht="27.75" thickTop="1" thickBot="1" x14ac:dyDescent="0.45">
      <c r="A2" s="119" t="str">
        <f>"Verrekening "&amp;Gegevens!A1&amp;Gegevens!A2</f>
        <v>Verrekening Voorlopige Aanslag 2023</v>
      </c>
      <c r="B2" s="120"/>
      <c r="C2" s="120"/>
      <c r="D2" s="120"/>
      <c r="E2" s="120"/>
      <c r="F2" s="120"/>
      <c r="G2" s="120"/>
      <c r="H2" s="121"/>
      <c r="K2" s="76"/>
    </row>
    <row r="3" spans="1:14" ht="21.75" thickTop="1" x14ac:dyDescent="0.35">
      <c r="B3" s="77" t="s">
        <v>175</v>
      </c>
      <c r="I3" s="76" t="s">
        <v>55</v>
      </c>
      <c r="K3" s="76" t="str">
        <f>Gegevens!J5</f>
        <v>Wyzer</v>
      </c>
      <c r="M3" s="18"/>
    </row>
    <row r="4" spans="1:14" ht="18" customHeight="1" x14ac:dyDescent="0.25">
      <c r="B4" s="138">
        <f>Ingave!C7</f>
        <v>0</v>
      </c>
      <c r="C4" s="139"/>
      <c r="D4" s="139"/>
      <c r="E4" s="139"/>
      <c r="F4" s="140"/>
      <c r="H4" s="78" t="s">
        <v>180</v>
      </c>
      <c r="I4" s="79"/>
    </row>
    <row r="5" spans="1:14" ht="18" customHeight="1" x14ac:dyDescent="0.25">
      <c r="B5" s="138">
        <f>Ingave!C8</f>
        <v>0</v>
      </c>
      <c r="C5" s="139"/>
      <c r="D5" s="139"/>
      <c r="E5" s="139"/>
      <c r="F5" s="140"/>
      <c r="G5" s="80"/>
      <c r="H5" s="81">
        <f>IF(Ingave!C14=""," ",Ingave!C14)</f>
        <v>44927</v>
      </c>
      <c r="I5" s="82" t="s">
        <v>44</v>
      </c>
      <c r="J5" s="81">
        <f>IF(Ingave!E14=""," ",Ingave!E14)</f>
        <v>45138</v>
      </c>
    </row>
    <row r="6" spans="1:14" ht="18" customHeight="1" x14ac:dyDescent="0.25">
      <c r="B6" s="83">
        <f>Ingave!C9</f>
        <v>0</v>
      </c>
      <c r="C6" s="84"/>
      <c r="D6" s="138">
        <f>Ingave!E9</f>
        <v>0</v>
      </c>
      <c r="E6" s="139"/>
      <c r="F6" s="140"/>
      <c r="H6" s="176">
        <f>IF(Ingave!C15=""," ",Ingave!C15)</f>
        <v>45139</v>
      </c>
      <c r="I6" s="82" t="str">
        <f>IF(Ingave!D15=""," ",Ingave!D15)</f>
        <v>t/m</v>
      </c>
      <c r="J6" s="177">
        <f>IF(Ingave!E15=""," ",Ingave!E15)</f>
        <v>45291</v>
      </c>
    </row>
    <row r="7" spans="1:14" x14ac:dyDescent="0.25">
      <c r="B7" s="77" t="s">
        <v>111</v>
      </c>
      <c r="H7" s="82" t="str">
        <f>IF(Ingave!C16=""," ",Ingave!C16)</f>
        <v xml:space="preserve"> </v>
      </c>
      <c r="I7" s="82" t="str">
        <f>IF(Ingave!D16=""," ",Ingave!D16)</f>
        <v xml:space="preserve"> </v>
      </c>
      <c r="J7" s="82" t="str">
        <f>IF(Ingave!E16=""," ",Ingave!E16)</f>
        <v xml:space="preserve"> </v>
      </c>
    </row>
    <row r="8" spans="1:14" ht="18" customHeight="1" x14ac:dyDescent="0.25">
      <c r="B8" s="138">
        <f>Ingave!C11</f>
        <v>0</v>
      </c>
      <c r="C8" s="139"/>
      <c r="D8" s="139"/>
      <c r="E8" s="139"/>
      <c r="F8" s="140"/>
      <c r="H8" s="82" t="str">
        <f>IF(Ingave!C17=""," ",Ingave!C17)</f>
        <v xml:space="preserve"> </v>
      </c>
      <c r="I8" s="82" t="str">
        <f>IF(Ingave!D17=""," ",Ingave!D17)</f>
        <v xml:space="preserve"> </v>
      </c>
      <c r="J8" s="82" t="str">
        <f>IF(Ingave!E17=""," ",Ingave!E17)</f>
        <v xml:space="preserve"> </v>
      </c>
    </row>
    <row r="10" spans="1:14" x14ac:dyDescent="0.25">
      <c r="F10" s="85" t="s">
        <v>17</v>
      </c>
      <c r="G10" s="86" t="s">
        <v>18</v>
      </c>
      <c r="H10" s="87" t="s">
        <v>133</v>
      </c>
    </row>
    <row r="11" spans="1:14" x14ac:dyDescent="0.25">
      <c r="A11" s="77" t="s">
        <v>176</v>
      </c>
      <c r="B11" s="16" t="s">
        <v>110</v>
      </c>
      <c r="F11" s="88">
        <f>Berekeningen!K42</f>
        <v>0</v>
      </c>
      <c r="G11" s="89">
        <f>Berekeningen!K53</f>
        <v>0</v>
      </c>
      <c r="H11" s="90">
        <f>G11+F11</f>
        <v>0</v>
      </c>
    </row>
    <row r="12" spans="1:14" x14ac:dyDescent="0.25">
      <c r="B12" s="16" t="s">
        <v>255</v>
      </c>
      <c r="F12" s="88">
        <f>Berekeningen!E305</f>
        <v>0</v>
      </c>
      <c r="G12" s="91">
        <f>Berekeningen!K37</f>
        <v>115</v>
      </c>
      <c r="H12" s="90">
        <f>G12+F12</f>
        <v>115</v>
      </c>
    </row>
    <row r="13" spans="1:14" ht="15.75" thickBot="1" x14ac:dyDescent="0.3">
      <c r="B13" s="77" t="s">
        <v>133</v>
      </c>
      <c r="F13" s="92">
        <f>SUM(F11:F12)</f>
        <v>0</v>
      </c>
      <c r="G13" s="92">
        <f>SUM(G11:G12)</f>
        <v>115</v>
      </c>
      <c r="H13" s="93">
        <f>SUM(H11:H12)</f>
        <v>115</v>
      </c>
    </row>
    <row r="14" spans="1:14" ht="15.75" thickTop="1" x14ac:dyDescent="0.25"/>
    <row r="15" spans="1:14" x14ac:dyDescent="0.25">
      <c r="A15" s="31" t="s">
        <v>177</v>
      </c>
    </row>
    <row r="16" spans="1:14" x14ac:dyDescent="0.25">
      <c r="A16" s="94"/>
      <c r="B16" s="95" t="s">
        <v>32</v>
      </c>
      <c r="C16" s="95" t="s">
        <v>33</v>
      </c>
      <c r="D16" s="95" t="s">
        <v>34</v>
      </c>
      <c r="E16" s="95" t="s">
        <v>35</v>
      </c>
      <c r="F16" s="95" t="s">
        <v>36</v>
      </c>
      <c r="G16" s="95" t="s">
        <v>37</v>
      </c>
      <c r="H16" s="95" t="s">
        <v>38</v>
      </c>
      <c r="I16" s="95" t="s">
        <v>39</v>
      </c>
      <c r="J16" s="95" t="s">
        <v>40</v>
      </c>
      <c r="K16" s="95" t="s">
        <v>41</v>
      </c>
      <c r="L16" s="95" t="s">
        <v>42</v>
      </c>
      <c r="M16" s="95" t="s">
        <v>43</v>
      </c>
      <c r="N16" s="95" t="s">
        <v>133</v>
      </c>
    </row>
    <row r="17" spans="1:14" x14ac:dyDescent="0.25">
      <c r="A17" s="96" t="s">
        <v>49</v>
      </c>
      <c r="B17" s="97">
        <f t="shared" ref="B17:M17" si="0">$H$11/12</f>
        <v>0</v>
      </c>
      <c r="C17" s="97">
        <f t="shared" si="0"/>
        <v>0</v>
      </c>
      <c r="D17" s="97">
        <f t="shared" si="0"/>
        <v>0</v>
      </c>
      <c r="E17" s="97">
        <f t="shared" si="0"/>
        <v>0</v>
      </c>
      <c r="F17" s="97">
        <f t="shared" si="0"/>
        <v>0</v>
      </c>
      <c r="G17" s="97">
        <f t="shared" si="0"/>
        <v>0</v>
      </c>
      <c r="H17" s="97">
        <f t="shared" si="0"/>
        <v>0</v>
      </c>
      <c r="I17" s="97">
        <f t="shared" si="0"/>
        <v>0</v>
      </c>
      <c r="J17" s="97">
        <f t="shared" si="0"/>
        <v>0</v>
      </c>
      <c r="K17" s="97">
        <f t="shared" si="0"/>
        <v>0</v>
      </c>
      <c r="L17" s="97">
        <f t="shared" si="0"/>
        <v>0</v>
      </c>
      <c r="M17" s="97">
        <f t="shared" si="0"/>
        <v>0</v>
      </c>
      <c r="N17" s="97">
        <f>SUM(B17:M17)</f>
        <v>0</v>
      </c>
    </row>
    <row r="18" spans="1:14" ht="15.75" thickBot="1" x14ac:dyDescent="0.3">
      <c r="A18" s="98" t="s">
        <v>178</v>
      </c>
      <c r="B18" s="99">
        <f>$H$12/12</f>
        <v>9.5833333333333339</v>
      </c>
      <c r="C18" s="99">
        <f t="shared" ref="C18:M18" si="1">$H$12/12</f>
        <v>9.5833333333333339</v>
      </c>
      <c r="D18" s="99">
        <f t="shared" si="1"/>
        <v>9.5833333333333339</v>
      </c>
      <c r="E18" s="99">
        <f t="shared" si="1"/>
        <v>9.5833333333333339</v>
      </c>
      <c r="F18" s="99">
        <f t="shared" si="1"/>
        <v>9.5833333333333339</v>
      </c>
      <c r="G18" s="99">
        <f t="shared" si="1"/>
        <v>9.5833333333333339</v>
      </c>
      <c r="H18" s="99">
        <f t="shared" si="1"/>
        <v>9.5833333333333339</v>
      </c>
      <c r="I18" s="99">
        <f t="shared" si="1"/>
        <v>9.5833333333333339</v>
      </c>
      <c r="J18" s="99">
        <f t="shared" si="1"/>
        <v>9.5833333333333339</v>
      </c>
      <c r="K18" s="99">
        <f t="shared" si="1"/>
        <v>9.5833333333333339</v>
      </c>
      <c r="L18" s="99">
        <f t="shared" si="1"/>
        <v>9.5833333333333339</v>
      </c>
      <c r="M18" s="99">
        <f t="shared" si="1"/>
        <v>9.5833333333333339</v>
      </c>
      <c r="N18" s="99">
        <f>SUM(B18:M18)</f>
        <v>114.99999999999999</v>
      </c>
    </row>
    <row r="19" spans="1:14" x14ac:dyDescent="0.25">
      <c r="A19" s="100" t="s">
        <v>133</v>
      </c>
      <c r="B19" s="101">
        <f t="shared" ref="B19:M19" si="2">SUM(B17:B18)</f>
        <v>9.5833333333333339</v>
      </c>
      <c r="C19" s="101">
        <f t="shared" si="2"/>
        <v>9.5833333333333339</v>
      </c>
      <c r="D19" s="101">
        <f t="shared" si="2"/>
        <v>9.5833333333333339</v>
      </c>
      <c r="E19" s="101">
        <f t="shared" si="2"/>
        <v>9.5833333333333339</v>
      </c>
      <c r="F19" s="101">
        <f t="shared" si="2"/>
        <v>9.5833333333333339</v>
      </c>
      <c r="G19" s="101">
        <f t="shared" si="2"/>
        <v>9.5833333333333339</v>
      </c>
      <c r="H19" s="101">
        <f t="shared" si="2"/>
        <v>9.5833333333333339</v>
      </c>
      <c r="I19" s="101">
        <f t="shared" si="2"/>
        <v>9.5833333333333339</v>
      </c>
      <c r="J19" s="101">
        <f t="shared" si="2"/>
        <v>9.5833333333333339</v>
      </c>
      <c r="K19" s="101">
        <f t="shared" si="2"/>
        <v>9.5833333333333339</v>
      </c>
      <c r="L19" s="101">
        <f t="shared" si="2"/>
        <v>9.5833333333333339</v>
      </c>
      <c r="M19" s="101">
        <f t="shared" si="2"/>
        <v>9.5833333333333339</v>
      </c>
      <c r="N19" s="101">
        <f>SUM(B19:M19)</f>
        <v>114.99999999999999</v>
      </c>
    </row>
    <row r="21" spans="1:14" x14ac:dyDescent="0.25">
      <c r="A21" s="31" t="s">
        <v>186</v>
      </c>
    </row>
    <row r="22" spans="1:14" x14ac:dyDescent="0.25">
      <c r="A22" s="102"/>
      <c r="B22" s="103" t="s">
        <v>32</v>
      </c>
      <c r="C22" s="103" t="s">
        <v>33</v>
      </c>
      <c r="D22" s="103" t="s">
        <v>34</v>
      </c>
      <c r="E22" s="103" t="s">
        <v>35</v>
      </c>
      <c r="F22" s="103" t="s">
        <v>36</v>
      </c>
      <c r="G22" s="103" t="s">
        <v>37</v>
      </c>
      <c r="H22" s="103" t="s">
        <v>38</v>
      </c>
      <c r="I22" s="103" t="s">
        <v>39</v>
      </c>
      <c r="J22" s="103" t="s">
        <v>40</v>
      </c>
      <c r="K22" s="103" t="s">
        <v>41</v>
      </c>
      <c r="L22" s="103" t="s">
        <v>42</v>
      </c>
      <c r="M22" s="103" t="s">
        <v>43</v>
      </c>
      <c r="N22" s="103" t="s">
        <v>133</v>
      </c>
    </row>
    <row r="23" spans="1:14" x14ac:dyDescent="0.25">
      <c r="A23" s="104" t="s">
        <v>49</v>
      </c>
      <c r="B23" s="97">
        <f>ROUND(B17*Berekeningen!$N$171/31,2)</f>
        <v>0</v>
      </c>
      <c r="C23" s="97">
        <f>ROUND(C17*Berekeningen!$N$172/Berekeningen!$K$165,2)</f>
        <v>0</v>
      </c>
      <c r="D23" s="97">
        <f>ROUND(D17*Berekeningen!$N$173/31,2)</f>
        <v>0</v>
      </c>
      <c r="E23" s="97">
        <f>ROUND(E17*Berekeningen!$N$174/30,2)</f>
        <v>0</v>
      </c>
      <c r="F23" s="97">
        <f>ROUND(F17*Berekeningen!$N$175/31,2)</f>
        <v>0</v>
      </c>
      <c r="G23" s="97">
        <f>ROUND(G17*Berekeningen!$N$176/30,2)</f>
        <v>0</v>
      </c>
      <c r="H23" s="97">
        <f>ROUND(H17*Berekeningen!$N$177/31,2)</f>
        <v>0</v>
      </c>
      <c r="I23" s="97">
        <f>ROUND(I17*Berekeningen!$N$178/31,2)</f>
        <v>0</v>
      </c>
      <c r="J23" s="97">
        <f>ROUND(J17*Berekeningen!$N$179/30,2)</f>
        <v>0</v>
      </c>
      <c r="K23" s="97">
        <f>ROUND(K17*Berekeningen!$N$180/31,2)</f>
        <v>0</v>
      </c>
      <c r="L23" s="97">
        <f>ROUND(L17*Berekeningen!$N$181/30,2)</f>
        <v>0</v>
      </c>
      <c r="M23" s="97">
        <f>ROUND(M17*Berekeningen!$N$182/31,2)</f>
        <v>0</v>
      </c>
      <c r="N23" s="97">
        <f>SUM(B23:M23)</f>
        <v>0</v>
      </c>
    </row>
    <row r="24" spans="1:14" ht="15.75" thickBot="1" x14ac:dyDescent="0.3">
      <c r="A24" s="105" t="s">
        <v>178</v>
      </c>
      <c r="B24" s="97">
        <f>ROUND(B18*Berekeningen!$N$171/31,2)</f>
        <v>9.58</v>
      </c>
      <c r="C24" s="97">
        <f>ROUND(C18*Berekeningen!$N$172/Berekeningen!$K$165,2)</f>
        <v>9.58</v>
      </c>
      <c r="D24" s="97">
        <f>ROUND(D18*Berekeningen!$N$173/31,2)</f>
        <v>9.58</v>
      </c>
      <c r="E24" s="97">
        <f>ROUND(E18*Berekeningen!$N$174/30,2)</f>
        <v>9.58</v>
      </c>
      <c r="F24" s="97">
        <f>ROUND(F18*Berekeningen!$N$175/31,2)</f>
        <v>9.58</v>
      </c>
      <c r="G24" s="97">
        <f>ROUND(G18*Berekeningen!$N$176/30,2)</f>
        <v>9.58</v>
      </c>
      <c r="H24" s="97">
        <f>ROUND(H18*Berekeningen!$N$177/31,2)</f>
        <v>9.58</v>
      </c>
      <c r="I24" s="97">
        <f>ROUND(I18*Berekeningen!$N$178/31,2)</f>
        <v>9.58</v>
      </c>
      <c r="J24" s="97">
        <f>ROUND(J18*Berekeningen!$N$179/30,2)</f>
        <v>9.58</v>
      </c>
      <c r="K24" s="97">
        <f>ROUND(K18*Berekeningen!$N$180/31,2)</f>
        <v>9.58</v>
      </c>
      <c r="L24" s="97">
        <f>ROUND(L18*Berekeningen!$N$181/30,2)</f>
        <v>9.58</v>
      </c>
      <c r="M24" s="97">
        <f>ROUND(M18*Berekeningen!$N$182/31,2)</f>
        <v>9.58</v>
      </c>
      <c r="N24" s="99">
        <f>SUM(B24:M24)</f>
        <v>114.96</v>
      </c>
    </row>
    <row r="25" spans="1:14" x14ac:dyDescent="0.25">
      <c r="A25" s="106" t="s">
        <v>133</v>
      </c>
      <c r="B25" s="101">
        <f t="shared" ref="B25:M25" si="3">SUM(B23:B24)</f>
        <v>9.58</v>
      </c>
      <c r="C25" s="101">
        <f t="shared" si="3"/>
        <v>9.58</v>
      </c>
      <c r="D25" s="101">
        <f t="shared" si="3"/>
        <v>9.58</v>
      </c>
      <c r="E25" s="101">
        <f t="shared" si="3"/>
        <v>9.58</v>
      </c>
      <c r="F25" s="101">
        <f t="shared" si="3"/>
        <v>9.58</v>
      </c>
      <c r="G25" s="101">
        <f t="shared" si="3"/>
        <v>9.58</v>
      </c>
      <c r="H25" s="101">
        <f t="shared" si="3"/>
        <v>9.58</v>
      </c>
      <c r="I25" s="101">
        <f t="shared" si="3"/>
        <v>9.58</v>
      </c>
      <c r="J25" s="101">
        <f t="shared" si="3"/>
        <v>9.58</v>
      </c>
      <c r="K25" s="101">
        <f t="shared" si="3"/>
        <v>9.58</v>
      </c>
      <c r="L25" s="101">
        <f t="shared" si="3"/>
        <v>9.58</v>
      </c>
      <c r="M25" s="101">
        <f t="shared" si="3"/>
        <v>9.58</v>
      </c>
      <c r="N25" s="101">
        <f>SUM(B25:M25)</f>
        <v>114.96</v>
      </c>
    </row>
    <row r="27" spans="1:14" x14ac:dyDescent="0.25">
      <c r="A27" s="31" t="s">
        <v>45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5">
      <c r="A28" s="107"/>
      <c r="B28" s="44" t="s">
        <v>32</v>
      </c>
      <c r="C28" s="44" t="s">
        <v>33</v>
      </c>
      <c r="D28" s="44" t="s">
        <v>34</v>
      </c>
      <c r="E28" s="44" t="s">
        <v>35</v>
      </c>
      <c r="F28" s="44" t="s">
        <v>36</v>
      </c>
      <c r="G28" s="44" t="s">
        <v>37</v>
      </c>
      <c r="H28" s="44" t="s">
        <v>38</v>
      </c>
      <c r="I28" s="44" t="s">
        <v>39</v>
      </c>
      <c r="J28" s="44" t="s">
        <v>40</v>
      </c>
      <c r="K28" s="44" t="s">
        <v>41</v>
      </c>
      <c r="L28" s="44" t="s">
        <v>42</v>
      </c>
      <c r="M28" s="44" t="s">
        <v>43</v>
      </c>
      <c r="N28" s="44" t="s">
        <v>133</v>
      </c>
    </row>
    <row r="29" spans="1:14" x14ac:dyDescent="0.25">
      <c r="A29" s="44"/>
      <c r="B29" s="108">
        <f>Ingave!C42</f>
        <v>0</v>
      </c>
      <c r="C29" s="108">
        <f>Ingave!C43</f>
        <v>0</v>
      </c>
      <c r="D29" s="108">
        <f>Ingave!C44</f>
        <v>0</v>
      </c>
      <c r="E29" s="108">
        <f>Ingave!C45</f>
        <v>0</v>
      </c>
      <c r="F29" s="108">
        <f>Ingave!C46</f>
        <v>0</v>
      </c>
      <c r="G29" s="108">
        <f>Ingave!C47</f>
        <v>0</v>
      </c>
      <c r="H29" s="108">
        <f>Ingave!G42</f>
        <v>0</v>
      </c>
      <c r="I29" s="108">
        <f>Ingave!G43</f>
        <v>0</v>
      </c>
      <c r="J29" s="108">
        <f>Ingave!G44</f>
        <v>0</v>
      </c>
      <c r="K29" s="108">
        <f>Ingave!G45</f>
        <v>0</v>
      </c>
      <c r="L29" s="108">
        <f>Ingave!G46</f>
        <v>0</v>
      </c>
      <c r="M29" s="108">
        <f>Ingave!G47</f>
        <v>0</v>
      </c>
      <c r="N29" s="44">
        <f>SUM(B29:M29)</f>
        <v>0</v>
      </c>
    </row>
    <row r="31" spans="1:14" x14ac:dyDescent="0.25">
      <c r="A31" s="31" t="s">
        <v>179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5">
      <c r="A32" s="107"/>
      <c r="B32" s="44" t="s">
        <v>32</v>
      </c>
      <c r="C32" s="44" t="s">
        <v>33</v>
      </c>
      <c r="D32" s="44" t="s">
        <v>34</v>
      </c>
      <c r="E32" s="44" t="s">
        <v>35</v>
      </c>
      <c r="F32" s="44" t="s">
        <v>36</v>
      </c>
      <c r="G32" s="44" t="s">
        <v>37</v>
      </c>
      <c r="H32" s="44" t="s">
        <v>38</v>
      </c>
      <c r="I32" s="44" t="s">
        <v>39</v>
      </c>
      <c r="J32" s="44" t="s">
        <v>40</v>
      </c>
      <c r="K32" s="44" t="s">
        <v>41</v>
      </c>
      <c r="L32" s="44" t="s">
        <v>42</v>
      </c>
      <c r="M32" s="44" t="s">
        <v>43</v>
      </c>
      <c r="N32" s="44" t="s">
        <v>133</v>
      </c>
    </row>
    <row r="33" spans="1:14" x14ac:dyDescent="0.25">
      <c r="A33" s="109"/>
      <c r="B33" s="113">
        <f>B25-B29</f>
        <v>9.58</v>
      </c>
      <c r="C33" s="113">
        <f t="shared" ref="C33:M33" si="4">C25-C29</f>
        <v>9.58</v>
      </c>
      <c r="D33" s="113">
        <f t="shared" si="4"/>
        <v>9.58</v>
      </c>
      <c r="E33" s="113">
        <f t="shared" si="4"/>
        <v>9.58</v>
      </c>
      <c r="F33" s="113">
        <f t="shared" si="4"/>
        <v>9.58</v>
      </c>
      <c r="G33" s="113">
        <f t="shared" si="4"/>
        <v>9.58</v>
      </c>
      <c r="H33" s="113">
        <f t="shared" si="4"/>
        <v>9.58</v>
      </c>
      <c r="I33" s="113">
        <f t="shared" si="4"/>
        <v>9.58</v>
      </c>
      <c r="J33" s="113">
        <f t="shared" si="4"/>
        <v>9.58</v>
      </c>
      <c r="K33" s="113">
        <f t="shared" si="4"/>
        <v>9.58</v>
      </c>
      <c r="L33" s="113">
        <f t="shared" si="4"/>
        <v>9.58</v>
      </c>
      <c r="M33" s="113">
        <f t="shared" si="4"/>
        <v>9.58</v>
      </c>
      <c r="N33" s="113">
        <f>SUM(B33:M33)</f>
        <v>114.96</v>
      </c>
    </row>
    <row r="35" spans="1:14" x14ac:dyDescent="0.25">
      <c r="A35" s="16" t="s">
        <v>250</v>
      </c>
      <c r="C35" s="110"/>
      <c r="D35" s="110">
        <f>N33</f>
        <v>114.96</v>
      </c>
    </row>
    <row r="36" spans="1:14" x14ac:dyDescent="0.25">
      <c r="A36" s="16" t="s">
        <v>251</v>
      </c>
      <c r="D36" s="24">
        <f>Ingave!H48</f>
        <v>1</v>
      </c>
    </row>
    <row r="37" spans="1:14" x14ac:dyDescent="0.25">
      <c r="A37" s="16" t="s">
        <v>267</v>
      </c>
      <c r="D37" s="114">
        <f>IF(D36=0,0,ROUND(D35/D36,2))</f>
        <v>114.96</v>
      </c>
    </row>
    <row r="38" spans="1:14" x14ac:dyDescent="0.25">
      <c r="A38" s="16" t="str">
        <f>IF(D36=0,"Terug te vorderen"," ")</f>
        <v xml:space="preserve"> </v>
      </c>
      <c r="D38" s="111" t="str">
        <f>IF(D36=0,D35," ")</f>
        <v xml:space="preserve"> </v>
      </c>
    </row>
    <row r="39" spans="1:14" ht="15.75" customHeight="1" x14ac:dyDescent="0.25">
      <c r="A39" s="115" t="s">
        <v>288</v>
      </c>
      <c r="B39" s="115"/>
      <c r="C39" s="115"/>
      <c r="D39" s="115"/>
    </row>
    <row r="40" spans="1:14" x14ac:dyDescent="0.25">
      <c r="A40" s="112"/>
      <c r="B40" s="33"/>
      <c r="C40" s="33"/>
      <c r="D40" s="33"/>
    </row>
    <row r="42" spans="1:14" ht="9.75" customHeight="1" x14ac:dyDescent="0.25">
      <c r="A42" s="64"/>
    </row>
    <row r="43" spans="1:14" ht="10.5" customHeight="1" x14ac:dyDescent="0.25">
      <c r="A43" s="64"/>
    </row>
  </sheetData>
  <sheetProtection algorithmName="SHA-512" hashValue="Of6mfhGipJi44whWrnL1oQ8fSiGIWzi2SUOrrQH+YHrb6d/EODp9YTs5dwhcMdqwhRHZhwmUd57u1JkztvZ7nQ==" saltValue="P61XMKwnm+wjZiIA/sbQ6w==" spinCount="100000" sheet="1" selectLockedCells="1"/>
  <mergeCells count="6">
    <mergeCell ref="A39:D39"/>
    <mergeCell ref="B8:F8"/>
    <mergeCell ref="A2:H2"/>
    <mergeCell ref="D6:F6"/>
    <mergeCell ref="B5:F5"/>
    <mergeCell ref="B4:F4"/>
  </mergeCells>
  <phoneticPr fontId="2" type="noConversion"/>
  <pageMargins left="0.31496062992125984" right="0.31496062992125984" top="0.78740157480314965" bottom="0.78740157480314965" header="0.51181102362204722" footer="0.51181102362204722"/>
  <pageSetup paperSize="9" scale="70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K63"/>
  <sheetViews>
    <sheetView workbookViewId="0">
      <selection activeCell="E53" sqref="E53"/>
    </sheetView>
  </sheetViews>
  <sheetFormatPr defaultColWidth="9.140625" defaultRowHeight="14.25" x14ac:dyDescent="0.2"/>
  <cols>
    <col min="1" max="2" width="9.140625" style="142"/>
    <col min="3" max="4" width="11.85546875" style="142" bestFit="1" customWidth="1"/>
    <col min="5" max="5" width="11" style="142" customWidth="1"/>
    <col min="6" max="6" width="12.7109375" style="142" customWidth="1"/>
    <col min="7" max="7" width="9.42578125" style="142" bestFit="1" customWidth="1"/>
    <col min="8" max="16384" width="9.140625" style="142"/>
  </cols>
  <sheetData>
    <row r="1" spans="1:10" x14ac:dyDescent="0.2">
      <c r="A1" s="142" t="s">
        <v>72</v>
      </c>
      <c r="D1" s="142" t="s">
        <v>174</v>
      </c>
    </row>
    <row r="2" spans="1:10" x14ac:dyDescent="0.2">
      <c r="A2" s="161">
        <v>2023</v>
      </c>
      <c r="J2" s="143" t="s">
        <v>87</v>
      </c>
    </row>
    <row r="3" spans="1:10" x14ac:dyDescent="0.2">
      <c r="J3" s="143" t="s">
        <v>88</v>
      </c>
    </row>
    <row r="4" spans="1:10" ht="15" thickBot="1" x14ac:dyDescent="0.25">
      <c r="A4" s="144" t="s">
        <v>20</v>
      </c>
      <c r="B4" s="144"/>
      <c r="C4" s="145" t="s">
        <v>21</v>
      </c>
      <c r="D4" s="145" t="s">
        <v>22</v>
      </c>
      <c r="E4" s="145" t="s">
        <v>52</v>
      </c>
      <c r="F4" s="145" t="s">
        <v>53</v>
      </c>
      <c r="G4" s="145"/>
      <c r="H4" s="146"/>
    </row>
    <row r="5" spans="1:10" ht="15" thickTop="1" x14ac:dyDescent="0.2">
      <c r="A5" s="144"/>
      <c r="B5" s="144" t="s">
        <v>23</v>
      </c>
      <c r="C5" s="168">
        <v>0</v>
      </c>
      <c r="D5" s="169">
        <v>73030.990000000005</v>
      </c>
      <c r="E5" s="162">
        <v>0.36930000000000002</v>
      </c>
      <c r="F5" s="163">
        <f>E5</f>
        <v>0.36930000000000002</v>
      </c>
      <c r="J5" s="147" t="str">
        <f>Ingave!F4</f>
        <v>Wyzer</v>
      </c>
    </row>
    <row r="6" spans="1:10" x14ac:dyDescent="0.2">
      <c r="A6" s="144"/>
      <c r="B6" s="144" t="s">
        <v>24</v>
      </c>
      <c r="C6" s="170">
        <v>73031</v>
      </c>
      <c r="D6" s="171">
        <v>0</v>
      </c>
      <c r="E6" s="164">
        <v>0.495</v>
      </c>
      <c r="F6" s="165">
        <f>E6</f>
        <v>0.495</v>
      </c>
    </row>
    <row r="7" spans="1:10" x14ac:dyDescent="0.2">
      <c r="A7" s="144"/>
      <c r="B7" s="144"/>
    </row>
    <row r="8" spans="1:10" x14ac:dyDescent="0.2">
      <c r="A8" s="144"/>
      <c r="B8" s="144"/>
    </row>
    <row r="10" spans="1:10" ht="15" thickBot="1" x14ac:dyDescent="0.25">
      <c r="E10" s="148" t="s">
        <v>25</v>
      </c>
      <c r="I10" s="142" t="s">
        <v>163</v>
      </c>
    </row>
    <row r="11" spans="1:10" ht="15" thickTop="1" x14ac:dyDescent="0.2">
      <c r="A11" s="149" t="s">
        <v>0</v>
      </c>
      <c r="B11" s="149"/>
      <c r="D11" s="149"/>
      <c r="E11" s="150">
        <v>0.27650000000000002</v>
      </c>
      <c r="I11" s="166">
        <v>0.58550000000000002</v>
      </c>
    </row>
    <row r="12" spans="1:10" x14ac:dyDescent="0.2">
      <c r="A12" s="149" t="s">
        <v>1</v>
      </c>
      <c r="B12" s="149"/>
      <c r="C12" s="149"/>
      <c r="D12" s="149"/>
      <c r="E12" s="167">
        <v>3070</v>
      </c>
    </row>
    <row r="13" spans="1:10" x14ac:dyDescent="0.2">
      <c r="A13" s="149" t="s">
        <v>46</v>
      </c>
      <c r="B13" s="149"/>
      <c r="C13" s="149"/>
      <c r="D13" s="149"/>
      <c r="E13" s="151">
        <v>5547</v>
      </c>
      <c r="I13" s="166">
        <v>6.6799999999999998E-2</v>
      </c>
      <c r="J13" s="142" t="s">
        <v>284</v>
      </c>
    </row>
    <row r="14" spans="1:10" x14ac:dyDescent="0.2">
      <c r="A14" s="149" t="s">
        <v>47</v>
      </c>
      <c r="B14" s="149"/>
      <c r="C14" s="149"/>
      <c r="D14" s="149"/>
      <c r="E14" s="152">
        <v>0</v>
      </c>
    </row>
    <row r="15" spans="1:10" x14ac:dyDescent="0.2">
      <c r="A15" s="149" t="s">
        <v>48</v>
      </c>
      <c r="B15" s="149"/>
      <c r="C15" s="149"/>
      <c r="D15" s="149"/>
      <c r="E15" s="152">
        <v>2694</v>
      </c>
    </row>
    <row r="16" spans="1:10" x14ac:dyDescent="0.2">
      <c r="A16" s="149" t="s">
        <v>51</v>
      </c>
      <c r="B16" s="149"/>
      <c r="C16" s="149"/>
      <c r="D16" s="149"/>
      <c r="E16" s="153">
        <v>0.1145</v>
      </c>
    </row>
    <row r="17" spans="1:11" x14ac:dyDescent="0.2">
      <c r="A17" s="149" t="s">
        <v>59</v>
      </c>
      <c r="B17" s="149"/>
      <c r="C17" s="149"/>
      <c r="D17" s="149"/>
      <c r="E17" s="152">
        <f>E13</f>
        <v>5547</v>
      </c>
    </row>
    <row r="18" spans="1:11" x14ac:dyDescent="0.2">
      <c r="A18" s="149" t="s">
        <v>2</v>
      </c>
      <c r="B18" s="149"/>
      <c r="C18" s="149"/>
      <c r="D18" s="149"/>
      <c r="E18" s="152">
        <v>0</v>
      </c>
    </row>
    <row r="19" spans="1:11" x14ac:dyDescent="0.2">
      <c r="A19" s="149" t="s">
        <v>3</v>
      </c>
      <c r="B19" s="149"/>
      <c r="C19" s="149"/>
      <c r="D19" s="149"/>
      <c r="E19" s="152">
        <v>0</v>
      </c>
    </row>
    <row r="20" spans="1:11" x14ac:dyDescent="0.2">
      <c r="A20" s="149" t="s">
        <v>4</v>
      </c>
      <c r="B20" s="149"/>
      <c r="C20" s="149"/>
      <c r="D20" s="149"/>
      <c r="E20" s="153">
        <v>0</v>
      </c>
      <c r="H20" s="142" t="s">
        <v>237</v>
      </c>
      <c r="K20" s="153">
        <v>6.6669999999999993E-2</v>
      </c>
    </row>
    <row r="21" spans="1:11" x14ac:dyDescent="0.2">
      <c r="A21" s="149" t="s">
        <v>5</v>
      </c>
      <c r="B21" s="149"/>
      <c r="C21" s="149"/>
      <c r="D21" s="149"/>
      <c r="E21" s="152">
        <v>0</v>
      </c>
      <c r="H21" s="142" t="s">
        <v>254</v>
      </c>
      <c r="K21" s="153">
        <v>6.6669999999999993E-2</v>
      </c>
    </row>
    <row r="22" spans="1:11" x14ac:dyDescent="0.2">
      <c r="A22" s="149" t="s">
        <v>6</v>
      </c>
      <c r="B22" s="149"/>
      <c r="C22" s="149"/>
      <c r="D22" s="149"/>
      <c r="E22" s="152">
        <v>0</v>
      </c>
    </row>
    <row r="23" spans="1:11" x14ac:dyDescent="0.2">
      <c r="A23" s="149" t="s">
        <v>54</v>
      </c>
      <c r="B23" s="149"/>
      <c r="C23" s="149"/>
      <c r="D23" s="149"/>
      <c r="E23" s="152">
        <v>0</v>
      </c>
    </row>
    <row r="24" spans="1:11" ht="15" thickBot="1" x14ac:dyDescent="0.25">
      <c r="A24" s="149" t="s">
        <v>7</v>
      </c>
      <c r="B24" s="149"/>
      <c r="C24" s="149"/>
      <c r="D24" s="154"/>
      <c r="E24" s="155">
        <v>820</v>
      </c>
    </row>
    <row r="25" spans="1:11" ht="15" thickTop="1" x14ac:dyDescent="0.2">
      <c r="A25" s="149"/>
      <c r="B25" s="149"/>
      <c r="C25" s="149"/>
      <c r="D25" s="154"/>
    </row>
    <row r="28" spans="1:11" x14ac:dyDescent="0.2">
      <c r="B28" s="154"/>
      <c r="C28" s="154"/>
      <c r="D28" s="154"/>
      <c r="E28" s="154"/>
    </row>
    <row r="29" spans="1:11" x14ac:dyDescent="0.2">
      <c r="A29" s="149"/>
      <c r="B29" s="154"/>
      <c r="C29" s="154"/>
      <c r="D29" s="154"/>
    </row>
    <row r="30" spans="1:11" x14ac:dyDescent="0.2">
      <c r="A30" s="154" t="s">
        <v>8</v>
      </c>
      <c r="B30" s="154"/>
      <c r="C30" s="154"/>
      <c r="D30" s="154"/>
    </row>
    <row r="31" spans="1:11" x14ac:dyDescent="0.2">
      <c r="A31" s="149" t="s">
        <v>49</v>
      </c>
      <c r="B31" s="154"/>
      <c r="C31" s="154"/>
      <c r="D31" s="154" t="s">
        <v>9</v>
      </c>
      <c r="E31" s="156">
        <v>12</v>
      </c>
    </row>
    <row r="32" spans="1:11" x14ac:dyDescent="0.2">
      <c r="A32" s="149"/>
      <c r="B32" s="154"/>
      <c r="C32" s="154"/>
      <c r="D32" s="154"/>
    </row>
    <row r="33" spans="1:9" x14ac:dyDescent="0.2">
      <c r="A33" s="154"/>
      <c r="B33" s="154"/>
      <c r="C33" s="154"/>
      <c r="D33" s="154"/>
    </row>
    <row r="36" spans="1:9" x14ac:dyDescent="0.2">
      <c r="A36" s="142" t="s">
        <v>74</v>
      </c>
      <c r="E36" s="157"/>
      <c r="F36" s="142" t="s">
        <v>57</v>
      </c>
    </row>
    <row r="37" spans="1:9" x14ac:dyDescent="0.2">
      <c r="C37" s="142" t="s">
        <v>58</v>
      </c>
      <c r="D37" s="142">
        <v>10108</v>
      </c>
      <c r="E37" s="172">
        <v>8.2309999999999994E-2</v>
      </c>
      <c r="F37" s="142" t="s">
        <v>19</v>
      </c>
      <c r="G37" s="142" t="s">
        <v>44</v>
      </c>
      <c r="I37" s="142" t="s">
        <v>27</v>
      </c>
    </row>
    <row r="38" spans="1:9" x14ac:dyDescent="0.2">
      <c r="A38" s="142" t="s">
        <v>56</v>
      </c>
      <c r="B38" s="142">
        <v>1953</v>
      </c>
      <c r="C38" s="161">
        <v>10740</v>
      </c>
      <c r="D38" s="161">
        <v>23201</v>
      </c>
      <c r="E38" s="172">
        <v>0.29860999999999999</v>
      </c>
      <c r="F38" s="174">
        <v>37691</v>
      </c>
      <c r="G38" s="174">
        <v>115295</v>
      </c>
      <c r="H38" s="172">
        <v>5.8599999999999999E-2</v>
      </c>
      <c r="I38" s="161">
        <v>5052</v>
      </c>
    </row>
    <row r="39" spans="1:9" x14ac:dyDescent="0.2">
      <c r="D39" s="142" t="s">
        <v>94</v>
      </c>
      <c r="E39" s="173">
        <v>5052</v>
      </c>
      <c r="H39" s="159"/>
    </row>
    <row r="49" spans="1:7" x14ac:dyDescent="0.2">
      <c r="A49" s="142" t="s">
        <v>255</v>
      </c>
    </row>
    <row r="50" spans="1:7" x14ac:dyDescent="0.2">
      <c r="A50" s="142" t="s">
        <v>124</v>
      </c>
      <c r="D50" s="160"/>
      <c r="E50" s="142" t="s">
        <v>182</v>
      </c>
      <c r="G50" s="142">
        <v>28</v>
      </c>
    </row>
    <row r="51" spans="1:7" x14ac:dyDescent="0.2">
      <c r="A51" s="142" t="s">
        <v>257</v>
      </c>
      <c r="C51" s="158">
        <f>E12</f>
        <v>3070</v>
      </c>
      <c r="D51" s="142">
        <v>1963</v>
      </c>
    </row>
    <row r="52" spans="1:7" x14ac:dyDescent="0.2">
      <c r="A52" s="142" t="s">
        <v>256</v>
      </c>
      <c r="B52" s="160">
        <v>23012</v>
      </c>
      <c r="C52" s="158">
        <v>0</v>
      </c>
    </row>
    <row r="53" spans="1:7" x14ac:dyDescent="0.2">
      <c r="A53" s="142" t="s">
        <v>258</v>
      </c>
      <c r="C53" s="158"/>
      <c r="E53" s="159"/>
    </row>
    <row r="54" spans="1:7" x14ac:dyDescent="0.2">
      <c r="C54" s="158"/>
      <c r="D54" s="159"/>
      <c r="E54" s="159"/>
    </row>
    <row r="63" spans="1:7" x14ac:dyDescent="0.2">
      <c r="C63" s="158">
        <f>SUM(C51:C62)</f>
        <v>3070</v>
      </c>
      <c r="D63" s="159">
        <f>SUM(D54:D62)</f>
        <v>0</v>
      </c>
    </row>
  </sheetData>
  <sheetProtection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N312"/>
  <sheetViews>
    <sheetView topLeftCell="A130" workbookViewId="0">
      <selection activeCell="K50" sqref="K50"/>
    </sheetView>
  </sheetViews>
  <sheetFormatPr defaultColWidth="9.140625" defaultRowHeight="15" x14ac:dyDescent="0.25"/>
  <cols>
    <col min="1" max="1" width="21.5703125" style="2" bestFit="1" customWidth="1"/>
    <col min="2" max="2" width="14.5703125" style="2" bestFit="1" customWidth="1"/>
    <col min="3" max="3" width="14.7109375" style="2" customWidth="1"/>
    <col min="4" max="4" width="13" style="2" customWidth="1"/>
    <col min="5" max="5" width="13.5703125" style="2" customWidth="1"/>
    <col min="6" max="6" width="13.140625" style="2" bestFit="1" customWidth="1"/>
    <col min="7" max="7" width="13.28515625" style="2" bestFit="1" customWidth="1"/>
    <col min="8" max="9" width="13.140625" style="2" bestFit="1" customWidth="1"/>
    <col min="10" max="10" width="16.140625" style="2" customWidth="1"/>
    <col min="11" max="11" width="13.140625" style="2" bestFit="1" customWidth="1"/>
    <col min="12" max="12" width="13" style="2" customWidth="1"/>
    <col min="13" max="13" width="11.140625" style="2" bestFit="1" customWidth="1"/>
    <col min="14" max="14" width="9.28515625" style="2" bestFit="1" customWidth="1"/>
    <col min="15" max="16384" width="9.140625" style="2"/>
  </cols>
  <sheetData>
    <row r="1" spans="1:9" x14ac:dyDescent="0.25">
      <c r="A1" s="1">
        <f>Ingave!C19</f>
        <v>26934</v>
      </c>
      <c r="B1" s="2">
        <f>IF(A1=0,0,1)</f>
        <v>1</v>
      </c>
      <c r="C1" s="2" t="s">
        <v>253</v>
      </c>
      <c r="D1" s="2" t="str">
        <f>IF(B4=0," ",IF(B4=1,"Alleenstaande",IF(B4=3,"Gehuwd zonder kind(eren)",IF(B4=4,"Alleenstaande ouder",IF(B4=6,"Gehuwd met kind(eren)","""")))))</f>
        <v>Gehuwd met kind(eren)</v>
      </c>
      <c r="F1" s="2" t="str">
        <f>D1</f>
        <v>Gehuwd met kind(eren)</v>
      </c>
    </row>
    <row r="2" spans="1:9" x14ac:dyDescent="0.25">
      <c r="A2" s="1">
        <f>Ingave!C20</f>
        <v>22049</v>
      </c>
      <c r="B2" s="2">
        <f>IF(A2=0,0,2)</f>
        <v>2</v>
      </c>
      <c r="C2" s="3"/>
    </row>
    <row r="3" spans="1:9" x14ac:dyDescent="0.25">
      <c r="A3" s="1">
        <f>Ingave!C21</f>
        <v>40909</v>
      </c>
      <c r="B3" s="2">
        <f>IF(A3=0,0,3)</f>
        <v>3</v>
      </c>
      <c r="I3" s="2" t="str">
        <f>I1&amp;I2</f>
        <v/>
      </c>
    </row>
    <row r="4" spans="1:9" x14ac:dyDescent="0.25">
      <c r="B4" s="3">
        <f>SUM(B1:B3)</f>
        <v>6</v>
      </c>
      <c r="C4" s="2" t="str">
        <f>IF(C2=1,"en één meerderj. kind",IF(C2&gt;1,"en meer meerderj. kinderen"," "))</f>
        <v xml:space="preserve"> </v>
      </c>
      <c r="D4" s="2">
        <f>Gegevens!A2</f>
        <v>2023</v>
      </c>
      <c r="F4" s="1">
        <f>DATE(D4,1,1)</f>
        <v>44927</v>
      </c>
      <c r="G4" s="1">
        <f>DATE(D4,12,31)</f>
        <v>45291</v>
      </c>
    </row>
    <row r="6" spans="1:9" x14ac:dyDescent="0.25">
      <c r="A6" s="2" t="s">
        <v>73</v>
      </c>
    </row>
    <row r="7" spans="1:9" x14ac:dyDescent="0.25">
      <c r="A7" s="1">
        <f>Ingave!C14</f>
        <v>44927</v>
      </c>
      <c r="B7" s="1">
        <f>Ingave!E14</f>
        <v>45138</v>
      </c>
      <c r="C7" s="4">
        <f>IF(YEAR(A7)=1900,0,B7-A7+1)</f>
        <v>212</v>
      </c>
      <c r="E7" s="1"/>
      <c r="F7" s="1"/>
      <c r="G7" s="3">
        <f>G4-F4+1</f>
        <v>365</v>
      </c>
    </row>
    <row r="8" spans="1:9" x14ac:dyDescent="0.25">
      <c r="A8" s="1">
        <f>Ingave!C15</f>
        <v>45139</v>
      </c>
      <c r="B8" s="1">
        <f>Ingave!E15</f>
        <v>45291</v>
      </c>
      <c r="C8" s="4">
        <f>IF(YEAR(A8)=1900,0,B8-A8+1)</f>
        <v>153</v>
      </c>
    </row>
    <row r="9" spans="1:9" x14ac:dyDescent="0.25">
      <c r="A9" s="1">
        <f>Ingave!C16</f>
        <v>0</v>
      </c>
      <c r="B9" s="1">
        <f>Ingave!E16</f>
        <v>0</v>
      </c>
      <c r="C9" s="4">
        <f>IF(YEAR(A9)=1900,0,B9-A9+1)</f>
        <v>0</v>
      </c>
      <c r="E9" s="2" t="str">
        <f>IF(C11&lt;=G7," ","Let op: Aantal dagen is groter dan "&amp;G7)</f>
        <v xml:space="preserve"> </v>
      </c>
    </row>
    <row r="10" spans="1:9" x14ac:dyDescent="0.25">
      <c r="A10" s="1">
        <f>Ingave!C17</f>
        <v>0</v>
      </c>
      <c r="B10" s="1">
        <f>Ingave!E17</f>
        <v>0</v>
      </c>
      <c r="C10" s="4">
        <f>IF(YEAR(A10)=1900,0,B10-A10+1)</f>
        <v>0</v>
      </c>
    </row>
    <row r="11" spans="1:9" x14ac:dyDescent="0.25">
      <c r="C11" s="4">
        <f>SUM(C7:C10)</f>
        <v>365</v>
      </c>
    </row>
    <row r="13" spans="1:9" x14ac:dyDescent="0.25">
      <c r="A13" s="2" t="s">
        <v>28</v>
      </c>
      <c r="C13" s="2">
        <f>IF(YEAR(A1)=1900,0,YEAR(A1))</f>
        <v>1973</v>
      </c>
      <c r="D13" s="2">
        <f>D4</f>
        <v>2023</v>
      </c>
      <c r="E13" s="2">
        <f>IF(D13-C13=2021,0,D13-C13)</f>
        <v>50</v>
      </c>
      <c r="F13" s="2">
        <f>E13-1</f>
        <v>49</v>
      </c>
    </row>
    <row r="14" spans="1:9" x14ac:dyDescent="0.25">
      <c r="A14" s="2" t="s">
        <v>31</v>
      </c>
      <c r="C14" s="2">
        <f>IF(YEAR(A2)=1900,0,YEAR(A2))</f>
        <v>1960</v>
      </c>
      <c r="D14" s="2">
        <f>D4</f>
        <v>2023</v>
      </c>
      <c r="E14" s="2">
        <f>IF(D14-C14=2021,0,D14-C14)</f>
        <v>63</v>
      </c>
      <c r="F14" s="2">
        <f>IF(E14=0,0,E14-1)</f>
        <v>62</v>
      </c>
    </row>
    <row r="15" spans="1:9" x14ac:dyDescent="0.25">
      <c r="A15" s="2" t="s">
        <v>50</v>
      </c>
      <c r="C15" s="2">
        <f>IF(YEAR(A3)=1900,0,YEAR(A3))</f>
        <v>2012</v>
      </c>
      <c r="D15" s="2">
        <f>D4</f>
        <v>2023</v>
      </c>
      <c r="E15" s="2">
        <f>IF(D15-C15=2021,0,D15-C15)</f>
        <v>11</v>
      </c>
      <c r="F15" s="2">
        <f>IF(E15=1,1,E15-1)</f>
        <v>10</v>
      </c>
    </row>
    <row r="17" spans="1:12" x14ac:dyDescent="0.25">
      <c r="L17" s="2" t="s">
        <v>86</v>
      </c>
    </row>
    <row r="18" spans="1:12" x14ac:dyDescent="0.25">
      <c r="A18" s="2" t="s">
        <v>75</v>
      </c>
      <c r="B18" s="5">
        <f>Gegevens!E19</f>
        <v>0</v>
      </c>
      <c r="H18" s="2" t="s">
        <v>78</v>
      </c>
      <c r="J18" s="2" t="s">
        <v>75</v>
      </c>
      <c r="K18" s="5">
        <f>B20</f>
        <v>0</v>
      </c>
      <c r="L18" s="2">
        <v>1</v>
      </c>
    </row>
    <row r="19" spans="1:12" x14ac:dyDescent="0.25">
      <c r="A19" s="2" t="s">
        <v>76</v>
      </c>
      <c r="B19" s="6" t="str">
        <f>IF(B4=4,"ja","nee")</f>
        <v>nee</v>
      </c>
      <c r="C19" s="2">
        <f>IF(B4=4,1,0)</f>
        <v>0</v>
      </c>
      <c r="J19" s="2" t="s">
        <v>80</v>
      </c>
      <c r="K19" s="5">
        <f>IF(B25=1,B29,0)</f>
        <v>0</v>
      </c>
      <c r="L19" s="2">
        <v>1</v>
      </c>
    </row>
    <row r="20" spans="1:12" x14ac:dyDescent="0.25">
      <c r="A20" s="2" t="s">
        <v>77</v>
      </c>
      <c r="B20" s="5">
        <f>IF(B4=4,B18,0)</f>
        <v>0</v>
      </c>
      <c r="J20" s="2" t="s">
        <v>135</v>
      </c>
      <c r="K20" s="5">
        <f>SUM(K18:K19)</f>
        <v>0</v>
      </c>
    </row>
    <row r="21" spans="1:12" x14ac:dyDescent="0.25">
      <c r="J21" s="2" t="s">
        <v>49</v>
      </c>
      <c r="K21" s="5">
        <f>IF(C32=0,0,IF(D40&lt;Gegevens!E15,D40,Gegevens!E15))</f>
        <v>0</v>
      </c>
      <c r="L21" s="2">
        <v>1</v>
      </c>
    </row>
    <row r="22" spans="1:12" x14ac:dyDescent="0.25">
      <c r="A22" s="2" t="s">
        <v>79</v>
      </c>
      <c r="E22" s="2" t="s">
        <v>18</v>
      </c>
      <c r="K22" s="5">
        <f>IF(D32=0,0,IF(D33=0,0,IF(G40&lt;Gegevens!E15,G40,Gegevens!E15)))</f>
        <v>0</v>
      </c>
      <c r="L22" s="2">
        <v>2</v>
      </c>
    </row>
    <row r="23" spans="1:12" x14ac:dyDescent="0.25">
      <c r="A23" s="2" t="s">
        <v>83</v>
      </c>
      <c r="B23" s="1">
        <f>Ingave!C21</f>
        <v>40909</v>
      </c>
      <c r="C23" s="2">
        <f>Gegevens!A2-1</f>
        <v>2022</v>
      </c>
      <c r="E23" s="1">
        <f>Ingave!C20</f>
        <v>22049</v>
      </c>
      <c r="J23" s="2" t="s">
        <v>97</v>
      </c>
      <c r="K23" s="5">
        <f>C53</f>
        <v>0</v>
      </c>
      <c r="L23" s="2">
        <v>1</v>
      </c>
    </row>
    <row r="24" spans="1:12" x14ac:dyDescent="0.25">
      <c r="A24" s="2" t="s">
        <v>84</v>
      </c>
      <c r="B24" s="3">
        <f>YEAR(B23)</f>
        <v>2012</v>
      </c>
      <c r="C24" s="3">
        <f>C23-B24</f>
        <v>10</v>
      </c>
      <c r="E24" s="2">
        <f>IF(YEAR(E23)=1900,0,1)</f>
        <v>1</v>
      </c>
      <c r="J24" s="2" t="s">
        <v>97</v>
      </c>
      <c r="K24" s="5">
        <f>E53</f>
        <v>0</v>
      </c>
      <c r="L24" s="2">
        <v>2</v>
      </c>
    </row>
    <row r="25" spans="1:12" x14ac:dyDescent="0.25">
      <c r="A25" s="2" t="s">
        <v>85</v>
      </c>
      <c r="B25" s="2">
        <f>IF(E24=0,IF(C24&lt;C25,1,0),0)</f>
        <v>0</v>
      </c>
      <c r="C25" s="2">
        <f>Gegevens!E30</f>
        <v>0</v>
      </c>
      <c r="J25" s="2" t="s">
        <v>98</v>
      </c>
      <c r="K25" s="5">
        <f>B56</f>
        <v>0</v>
      </c>
      <c r="L25" s="2">
        <v>1</v>
      </c>
    </row>
    <row r="26" spans="1:12" x14ac:dyDescent="0.25">
      <c r="A26" s="2" t="s">
        <v>81</v>
      </c>
      <c r="B26" s="7">
        <f>Gegevens!E20</f>
        <v>0</v>
      </c>
      <c r="J26" s="2" t="s">
        <v>98</v>
      </c>
      <c r="K26" s="5">
        <f>F56</f>
        <v>0</v>
      </c>
      <c r="L26" s="2">
        <v>2</v>
      </c>
    </row>
    <row r="27" spans="1:12" x14ac:dyDescent="0.25">
      <c r="A27" s="2" t="s">
        <v>82</v>
      </c>
      <c r="B27" s="5">
        <f>Ingave!C32</f>
        <v>10000</v>
      </c>
    </row>
    <row r="28" spans="1:12" x14ac:dyDescent="0.25">
      <c r="A28" s="2" t="s">
        <v>80</v>
      </c>
      <c r="B28" s="5">
        <f>ROUND(B26*B27,2)</f>
        <v>0</v>
      </c>
      <c r="J28" s="2" t="s">
        <v>106</v>
      </c>
      <c r="K28" s="5">
        <f>B74</f>
        <v>824</v>
      </c>
      <c r="L28" s="2">
        <v>1</v>
      </c>
    </row>
    <row r="29" spans="1:12" x14ac:dyDescent="0.25">
      <c r="A29" s="2" t="s">
        <v>80</v>
      </c>
      <c r="B29" s="5">
        <f>IF(C19=0,0,CEILING(B28,1))</f>
        <v>0</v>
      </c>
      <c r="K29" s="5">
        <f>I74</f>
        <v>412</v>
      </c>
      <c r="L29" s="2">
        <v>2</v>
      </c>
    </row>
    <row r="30" spans="1:12" x14ac:dyDescent="0.25">
      <c r="C30" s="2" t="s">
        <v>17</v>
      </c>
      <c r="D30" s="2" t="s">
        <v>18</v>
      </c>
      <c r="F30" s="2" t="s">
        <v>17</v>
      </c>
      <c r="G30" s="2" t="s">
        <v>18</v>
      </c>
      <c r="J30" s="2" t="s">
        <v>140</v>
      </c>
      <c r="K30" s="5">
        <f>IF(C13=0,0,Gegevens!E12)</f>
        <v>3070</v>
      </c>
      <c r="L30" s="2">
        <v>1</v>
      </c>
    </row>
    <row r="31" spans="1:12" x14ac:dyDescent="0.25">
      <c r="A31" s="2" t="s">
        <v>49</v>
      </c>
      <c r="F31" s="2">
        <f>IF(D35=0,0,1)</f>
        <v>1</v>
      </c>
      <c r="G31" s="2">
        <f>IF(D33=0,0,IF(C35=0,0,1))</f>
        <v>1</v>
      </c>
      <c r="K31" s="5">
        <f>IF(C14=0,0,Gegevens!E12)</f>
        <v>3070</v>
      </c>
      <c r="L31" s="2">
        <v>2</v>
      </c>
    </row>
    <row r="32" spans="1:12" x14ac:dyDescent="0.25">
      <c r="A32" s="2" t="s">
        <v>243</v>
      </c>
      <c r="B32" s="2">
        <f>IF(F15&lt;=0,0,IF(F15&lt;Gegevens!E31,1,0))</f>
        <v>1</v>
      </c>
      <c r="C32" s="2">
        <f>IF(B32=0,0,1)</f>
        <v>1</v>
      </c>
      <c r="D32" s="2">
        <f>IF(B32=1,1,0)</f>
        <v>1</v>
      </c>
      <c r="F32" s="2">
        <f>IF(C35=0,0,1)</f>
        <v>1</v>
      </c>
      <c r="G32" s="8">
        <f>IF(D35=0,0,1)</f>
        <v>1</v>
      </c>
    </row>
    <row r="33" spans="1:13" x14ac:dyDescent="0.25">
      <c r="A33" s="2" t="s">
        <v>18</v>
      </c>
      <c r="C33" s="2">
        <f>IF(C13&gt;0,1,0)</f>
        <v>1</v>
      </c>
      <c r="D33" s="2">
        <f>IF(C14=0,0,1)</f>
        <v>1</v>
      </c>
      <c r="F33" s="2">
        <f>IF(G31=0,1,F31+F32)</f>
        <v>2</v>
      </c>
      <c r="G33" s="2">
        <f>G31+G32</f>
        <v>2</v>
      </c>
      <c r="J33" s="2" t="s">
        <v>172</v>
      </c>
      <c r="K33" s="5">
        <f>B162</f>
        <v>4438</v>
      </c>
      <c r="L33" s="2">
        <v>1</v>
      </c>
    </row>
    <row r="34" spans="1:13" x14ac:dyDescent="0.25">
      <c r="A34" s="2" t="s">
        <v>133</v>
      </c>
      <c r="B34" s="7"/>
      <c r="C34" s="8">
        <f>C33+D33</f>
        <v>2</v>
      </c>
      <c r="D34" s="8"/>
      <c r="F34" s="2">
        <f>IF(F33&lt;2,0,1)</f>
        <v>1</v>
      </c>
      <c r="G34" s="2">
        <f>IF(G33&lt;2,0,1)</f>
        <v>1</v>
      </c>
      <c r="K34" s="5">
        <f>F149</f>
        <v>3000</v>
      </c>
      <c r="L34" s="2">
        <v>2</v>
      </c>
    </row>
    <row r="35" spans="1:13" x14ac:dyDescent="0.25">
      <c r="A35" s="2" t="s">
        <v>244</v>
      </c>
      <c r="B35" s="5">
        <f>Gegevens!E17</f>
        <v>5547</v>
      </c>
      <c r="C35" s="9">
        <f>Ingave!C32</f>
        <v>10000</v>
      </c>
      <c r="D35" s="9">
        <f>Ingave!E32</f>
        <v>5000</v>
      </c>
      <c r="F35" s="2">
        <f>IF(F34=0,0,IF(C35&lt;D35,1,0))</f>
        <v>0</v>
      </c>
      <c r="G35" s="2">
        <f>IF(G34=0,0,IF(D35&lt;C35,1,0))</f>
        <v>1</v>
      </c>
    </row>
    <row r="36" spans="1:13" x14ac:dyDescent="0.25">
      <c r="B36" s="5">
        <f>IF($C$35&lt;$B$35,0,Gegevens!$E$14)</f>
        <v>0</v>
      </c>
      <c r="C36" s="8"/>
      <c r="D36" s="8"/>
      <c r="F36" s="5">
        <f>IF(F35=0,0,IF($C$35&lt;$B$35,0,Gegevens!$E$14))</f>
        <v>0</v>
      </c>
      <c r="G36" s="5">
        <f>IF(G35=0,0,IF($D$35&lt;$B$35,0,Gegevens!$E$14))</f>
        <v>0</v>
      </c>
      <c r="J36" s="2" t="s">
        <v>187</v>
      </c>
      <c r="K36" s="5">
        <f>'VT cliënt'!E25</f>
        <v>1439</v>
      </c>
      <c r="L36" s="2">
        <v>1</v>
      </c>
      <c r="M36" s="5"/>
    </row>
    <row r="37" spans="1:13" x14ac:dyDescent="0.25">
      <c r="A37" s="2" t="s">
        <v>245</v>
      </c>
      <c r="B37" s="5">
        <f>IF(C35-B35&lt;0,0,C35-B35)</f>
        <v>4453</v>
      </c>
      <c r="C37" s="8"/>
      <c r="F37" s="5">
        <f>IF(F35=0,0,IF(C35-B35&lt;0,0,C35-B35))</f>
        <v>0</v>
      </c>
      <c r="G37" s="5">
        <f>IF(G35=0,0,IF(D35-B35&lt;0,0,D35-B35))</f>
        <v>0</v>
      </c>
      <c r="K37" s="5">
        <f>E288</f>
        <v>115</v>
      </c>
      <c r="L37" s="2">
        <v>2</v>
      </c>
      <c r="M37" s="5" t="s">
        <v>238</v>
      </c>
    </row>
    <row r="38" spans="1:13" x14ac:dyDescent="0.25">
      <c r="A38" s="2" t="s">
        <v>247</v>
      </c>
      <c r="B38" s="5">
        <f>B37*Gegevens!E16</f>
        <v>509.86850000000004</v>
      </c>
      <c r="F38" s="5">
        <f>F37*Gegevens!$E$16</f>
        <v>0</v>
      </c>
      <c r="G38" s="5">
        <f>G37*Gegevens!$E$16</f>
        <v>0</v>
      </c>
    </row>
    <row r="39" spans="1:13" x14ac:dyDescent="0.25">
      <c r="A39" s="2" t="s">
        <v>246</v>
      </c>
      <c r="B39" s="5">
        <f>IF(C34=2,0,B36+B38)</f>
        <v>0</v>
      </c>
      <c r="C39" s="5"/>
      <c r="F39" s="5">
        <f>F36+F38</f>
        <v>0</v>
      </c>
      <c r="G39" s="5">
        <f>G36+G38</f>
        <v>0</v>
      </c>
      <c r="J39" s="2" t="s">
        <v>75</v>
      </c>
      <c r="K39" s="5">
        <f>IF(K18&lt;L40,K18,L40)</f>
        <v>0</v>
      </c>
      <c r="L39" s="5">
        <f>L40-K39</f>
        <v>1439</v>
      </c>
    </row>
    <row r="40" spans="1:13" x14ac:dyDescent="0.25">
      <c r="A40" s="2" t="s">
        <v>248</v>
      </c>
      <c r="B40" s="5">
        <f>CEILING(B39,1)</f>
        <v>0</v>
      </c>
      <c r="D40" s="5">
        <f>IF(F40&gt;B40,F40,IF(B40&gt;F40,B40,B40))</f>
        <v>0</v>
      </c>
      <c r="F40" s="5">
        <f>CEILING(F39,1)</f>
        <v>0</v>
      </c>
      <c r="G40" s="5">
        <f>CEILING(G39,1)</f>
        <v>0</v>
      </c>
      <c r="J40" s="2" t="s">
        <v>80</v>
      </c>
      <c r="K40" s="5">
        <f>IF(K19&lt;L42,K19,L42)</f>
        <v>0</v>
      </c>
      <c r="L40" s="5">
        <f>IF(L42-K40&lt;0,0,L42-K40)</f>
        <v>1439</v>
      </c>
    </row>
    <row r="41" spans="1:13" x14ac:dyDescent="0.25">
      <c r="J41" s="2" t="s">
        <v>135</v>
      </c>
    </row>
    <row r="42" spans="1:13" x14ac:dyDescent="0.25">
      <c r="J42" s="2" t="s">
        <v>49</v>
      </c>
      <c r="K42" s="5">
        <f>IF(K21&lt;K36,K21,K36)</f>
        <v>0</v>
      </c>
      <c r="L42" s="5">
        <f>IF(K36-K42&lt;0,0,K36-K42)</f>
        <v>1439</v>
      </c>
    </row>
    <row r="43" spans="1:13" x14ac:dyDescent="0.25">
      <c r="A43" s="2" t="s">
        <v>276</v>
      </c>
      <c r="H43" s="2" t="s">
        <v>17</v>
      </c>
      <c r="I43" s="2" t="s">
        <v>18</v>
      </c>
    </row>
    <row r="44" spans="1:13" x14ac:dyDescent="0.25">
      <c r="B44" s="2" t="s">
        <v>17</v>
      </c>
      <c r="F44" s="2" t="s">
        <v>18</v>
      </c>
      <c r="H44" s="2" t="s">
        <v>93</v>
      </c>
      <c r="J44" s="2" t="s">
        <v>97</v>
      </c>
      <c r="K44" s="5">
        <f>IF(K23&lt;L39,K23,L39)</f>
        <v>0</v>
      </c>
      <c r="L44" s="5">
        <f>L39-K44</f>
        <v>1439</v>
      </c>
    </row>
    <row r="45" spans="1:13" x14ac:dyDescent="0.25">
      <c r="A45" s="2" t="s">
        <v>90</v>
      </c>
      <c r="B45" s="1">
        <f>Ingave!C19</f>
        <v>26934</v>
      </c>
      <c r="C45" s="2">
        <f>YEAR(B45)</f>
        <v>1973</v>
      </c>
      <c r="E45" s="2">
        <f>YEAR(F45)</f>
        <v>1960</v>
      </c>
      <c r="F45" s="1">
        <f>Ingave!C20</f>
        <v>22049</v>
      </c>
      <c r="H45" s="2">
        <v>17327</v>
      </c>
      <c r="J45" s="2" t="s">
        <v>97</v>
      </c>
    </row>
    <row r="46" spans="1:13" x14ac:dyDescent="0.25">
      <c r="B46" s="2">
        <f>YEAR(B45)</f>
        <v>1973</v>
      </c>
      <c r="C46" s="2">
        <f>IF(C45=1950,1,IF(C45=1951,1,IF(C45=1952,1,IF(C45=1953,1,0))))</f>
        <v>0</v>
      </c>
      <c r="E46" s="2">
        <f>IF(E45=1950,1,IF(E45=1951,1,IF(E45=1952,1,IF(E45=1953,1,0))))</f>
        <v>0</v>
      </c>
      <c r="F46" s="2">
        <f>YEAR(F45)</f>
        <v>1960</v>
      </c>
      <c r="H46" s="2" t="s">
        <v>94</v>
      </c>
      <c r="I46" s="2" t="s">
        <v>94</v>
      </c>
      <c r="K46" s="5">
        <f>SUM(K39:K45)</f>
        <v>0</v>
      </c>
    </row>
    <row r="47" spans="1:13" x14ac:dyDescent="0.25">
      <c r="A47" s="2" t="s">
        <v>84</v>
      </c>
      <c r="B47" s="2">
        <f>D47-B46</f>
        <v>50</v>
      </c>
      <c r="D47" s="2">
        <f>Gegevens!A2</f>
        <v>2023</v>
      </c>
      <c r="F47" s="2">
        <f>D47-F46</f>
        <v>63</v>
      </c>
      <c r="H47" s="2">
        <v>1119</v>
      </c>
      <c r="I47" s="2">
        <v>1119</v>
      </c>
    </row>
    <row r="48" spans="1:13" x14ac:dyDescent="0.25">
      <c r="A48" s="2" t="s">
        <v>91</v>
      </c>
      <c r="B48" s="5">
        <f>Ingave!C32</f>
        <v>10000</v>
      </c>
      <c r="F48" s="5">
        <f>Ingave!E32</f>
        <v>5000</v>
      </c>
      <c r="K48" s="5"/>
    </row>
    <row r="49" spans="1:11" x14ac:dyDescent="0.25">
      <c r="A49" s="2" t="s">
        <v>92</v>
      </c>
      <c r="B49" s="5">
        <f>IF(B48-H45&lt;=0,0,B48-H45)</f>
        <v>0</v>
      </c>
      <c r="F49" s="5">
        <f>IF(F48-H45&lt;0,0,F48-H45)</f>
        <v>0</v>
      </c>
      <c r="H49" s="2" t="s">
        <v>277</v>
      </c>
      <c r="I49" s="2" t="s">
        <v>277</v>
      </c>
      <c r="J49" s="2" t="s">
        <v>249</v>
      </c>
      <c r="K49" s="5">
        <f>'VT partner'!I40</f>
        <v>0</v>
      </c>
    </row>
    <row r="50" spans="1:11" x14ac:dyDescent="0.25">
      <c r="A50" s="2" t="s">
        <v>95</v>
      </c>
      <c r="B50" s="7">
        <v>0.58099999999999996</v>
      </c>
      <c r="F50" s="7">
        <v>0.58099999999999996</v>
      </c>
      <c r="H50" s="2">
        <v>33694</v>
      </c>
      <c r="I50" s="2">
        <v>33694</v>
      </c>
      <c r="J50" s="2" t="s">
        <v>49</v>
      </c>
      <c r="K50" s="5">
        <f>K22</f>
        <v>0</v>
      </c>
    </row>
    <row r="51" spans="1:11" x14ac:dyDescent="0.25">
      <c r="A51" s="2" t="s">
        <v>96</v>
      </c>
      <c r="B51" s="5">
        <f>CEILING(B49*B50,1)</f>
        <v>0</v>
      </c>
      <c r="F51" s="5">
        <f>CEILING(F49*F50,1)</f>
        <v>0</v>
      </c>
      <c r="H51" s="2" t="s">
        <v>278</v>
      </c>
      <c r="J51" s="2" t="s">
        <v>89</v>
      </c>
      <c r="K51" s="5">
        <f>K24</f>
        <v>0</v>
      </c>
    </row>
    <row r="52" spans="1:11" x14ac:dyDescent="0.25">
      <c r="A52" s="2" t="s">
        <v>138</v>
      </c>
      <c r="B52" s="5">
        <f>IF(B51&gt;H47,H47,B51)</f>
        <v>0</v>
      </c>
      <c r="F52" s="5">
        <f>IF(F51&gt;I47,I47,F51)</f>
        <v>0</v>
      </c>
      <c r="H52" s="5">
        <f>B48</f>
        <v>10000</v>
      </c>
      <c r="I52" s="5">
        <f>F48</f>
        <v>5000</v>
      </c>
    </row>
    <row r="53" spans="1:11" x14ac:dyDescent="0.25">
      <c r="A53" s="2" t="s">
        <v>280</v>
      </c>
      <c r="B53" s="10">
        <f>B52-H57</f>
        <v>0</v>
      </c>
      <c r="C53" s="10">
        <f>IF(C46=1,B53,0)</f>
        <v>0</v>
      </c>
      <c r="E53" s="10">
        <f>IF(E46=1,F53,0)</f>
        <v>0</v>
      </c>
      <c r="F53" s="10">
        <f>F52-I57</f>
        <v>0</v>
      </c>
      <c r="H53" s="2" t="s">
        <v>279</v>
      </c>
      <c r="I53" s="2" t="s">
        <v>279</v>
      </c>
      <c r="J53" s="2" t="s">
        <v>49</v>
      </c>
      <c r="K53" s="5">
        <f>IF(K50=0,0,IF(K49-K50&lt;0,K49,K50))</f>
        <v>0</v>
      </c>
    </row>
    <row r="54" spans="1:11" x14ac:dyDescent="0.25">
      <c r="A54" s="2" t="s">
        <v>7</v>
      </c>
      <c r="H54" s="10">
        <f>IF(H52-H50&lt;0,0,H52-H50)</f>
        <v>0</v>
      </c>
      <c r="I54" s="10">
        <f>IF(I52-I50&lt;0,0,I52-I50)</f>
        <v>0</v>
      </c>
      <c r="J54" s="2" t="s">
        <v>89</v>
      </c>
      <c r="K54" s="5">
        <v>0</v>
      </c>
    </row>
    <row r="55" spans="1:11" x14ac:dyDescent="0.25">
      <c r="B55" s="2">
        <f>IF(C13=0,0,IF(Ingave!C31&gt;0,1,0))</f>
        <v>0</v>
      </c>
      <c r="F55" s="2">
        <f>IF(Ingave!E31&gt;0,1,0)</f>
        <v>0</v>
      </c>
      <c r="H55" s="2" t="s">
        <v>57</v>
      </c>
      <c r="I55" s="2" t="s">
        <v>57</v>
      </c>
    </row>
    <row r="56" spans="1:11" x14ac:dyDescent="0.25">
      <c r="B56" s="5">
        <f>IF(B55=1,Gegevens!E24,0)</f>
        <v>0</v>
      </c>
      <c r="F56" s="5">
        <f>IF(C14=0,0,IF(F55=1,Gegevens!E24,0))</f>
        <v>0</v>
      </c>
      <c r="H56" s="11">
        <v>0.04</v>
      </c>
      <c r="I56" s="11">
        <v>0.04</v>
      </c>
    </row>
    <row r="57" spans="1:11" x14ac:dyDescent="0.25">
      <c r="H57" s="10">
        <f>ROUND(H54*H56,0)</f>
        <v>0</v>
      </c>
      <c r="I57" s="10">
        <f>ROUND(I54*I56,0)</f>
        <v>0</v>
      </c>
    </row>
    <row r="59" spans="1:11" x14ac:dyDescent="0.25">
      <c r="A59" s="2" t="s">
        <v>134</v>
      </c>
    </row>
    <row r="60" spans="1:11" x14ac:dyDescent="0.25">
      <c r="C60" s="2" t="s">
        <v>129</v>
      </c>
    </row>
    <row r="61" spans="1:11" x14ac:dyDescent="0.25">
      <c r="A61" s="2" t="s">
        <v>82</v>
      </c>
      <c r="B61" s="5">
        <f>Ingave!C34</f>
        <v>14440</v>
      </c>
      <c r="C61" s="5"/>
      <c r="F61" s="5">
        <f>Ingave!E34</f>
        <v>8000</v>
      </c>
    </row>
    <row r="62" spans="1:11" x14ac:dyDescent="0.25">
      <c r="A62" s="2" t="s">
        <v>126</v>
      </c>
      <c r="B62" s="5">
        <f>IF(B61&lt;$C$62,B61,$C$62)</f>
        <v>14440</v>
      </c>
      <c r="C62" s="5">
        <f>Gegevens!$D$5</f>
        <v>73030.990000000005</v>
      </c>
      <c r="F62" s="5">
        <f>IF(F61&lt;$C$62,F61,$C$62)</f>
        <v>8000</v>
      </c>
    </row>
    <row r="63" spans="1:11" x14ac:dyDescent="0.25">
      <c r="A63" s="2" t="s">
        <v>127</v>
      </c>
      <c r="B63" s="5">
        <f>IF(B61-B62&lt;=0,0,IF(B61-B62&gt;=$C$63,$C$63,B61-B62))</f>
        <v>0</v>
      </c>
      <c r="C63" s="5">
        <f>Gegevens!$D$6-Gegevens!$C$6</f>
        <v>-73031</v>
      </c>
      <c r="F63" s="5">
        <f>IF(F61-F62&lt;=0,0,IF(F61-F62&gt;=$C$63,$C$63,F61-F62))</f>
        <v>0</v>
      </c>
    </row>
    <row r="64" spans="1:11" x14ac:dyDescent="0.25">
      <c r="A64" s="2" t="s">
        <v>128</v>
      </c>
      <c r="B64" s="5">
        <f>IF(B61-B62-B63&lt;=0,0,IF(B61-B62-B63&gt;=$C$64,$C$64,B61-B62-B63))</f>
        <v>0</v>
      </c>
      <c r="C64" s="5">
        <f>Gegevens!$D$7-Gegevens!$C$7</f>
        <v>0</v>
      </c>
      <c r="F64" s="5">
        <f>IF(F61-F62-F63&lt;=0,0,IF(F61-F62-F63&gt;=$C$64,$C$64,F61-F62-F63))</f>
        <v>0</v>
      </c>
    </row>
    <row r="65" spans="1:12" x14ac:dyDescent="0.25">
      <c r="A65" s="2" t="s">
        <v>130</v>
      </c>
      <c r="B65" s="5">
        <f>IF(B61-B62-B63-B64&lt;=0,0,B61-B62-B63-B64)</f>
        <v>0</v>
      </c>
      <c r="F65" s="5">
        <f>IF(F61-F62-F63-F64&lt;=0,0,F61-F62-F63-F64)</f>
        <v>0</v>
      </c>
    </row>
    <row r="68" spans="1:12" x14ac:dyDescent="0.25">
      <c r="A68" s="2" t="s">
        <v>131</v>
      </c>
      <c r="E68" s="12"/>
      <c r="H68" s="2" t="s">
        <v>132</v>
      </c>
    </row>
    <row r="69" spans="1:12" x14ac:dyDescent="0.25">
      <c r="C69" s="2" t="s">
        <v>58</v>
      </c>
      <c r="D69" s="2" t="s">
        <v>136</v>
      </c>
      <c r="E69" s="12" t="s">
        <v>27</v>
      </c>
      <c r="K69" s="2" t="s">
        <v>27</v>
      </c>
    </row>
    <row r="70" spans="1:12" x14ac:dyDescent="0.25">
      <c r="A70" s="2">
        <f>YEAR(B45)</f>
        <v>1973</v>
      </c>
      <c r="B70" s="5">
        <f>Ingave!C32</f>
        <v>10000</v>
      </c>
      <c r="C70" s="12">
        <f>Gegevens!E37</f>
        <v>8.2309999999999994E-2</v>
      </c>
      <c r="D70" s="4">
        <f>Gegevens!D37</f>
        <v>10108</v>
      </c>
      <c r="E70" s="4">
        <f>IF(A70=0,0,IF(A70=1900,0,VLOOKUP(A70,Gegevens!B38:C47,2)))</f>
        <v>10740</v>
      </c>
      <c r="H70" s="2">
        <f>C14</f>
        <v>1960</v>
      </c>
      <c r="I70" s="5">
        <f>Ingave!E32</f>
        <v>5000</v>
      </c>
      <c r="K70" s="2">
        <f>IF(H70=1900,0,IF(H70=0,0,VLOOKUP(H70,Gegevens!B38:E47,2)))</f>
        <v>10740</v>
      </c>
    </row>
    <row r="71" spans="1:12" x14ac:dyDescent="0.25">
      <c r="A71" s="2" t="s">
        <v>58</v>
      </c>
      <c r="B71" s="5">
        <f>IF(E70=0,0,ROUND(IF(B70&gt;$D$70,$C$70*$D$70,B70*$C$70),2))</f>
        <v>823.1</v>
      </c>
      <c r="D71" s="4"/>
      <c r="E71" s="4"/>
      <c r="I71" s="5">
        <f>IF(K70=0,0,ROUND(IF(I70&gt;$D$70,$C$70*$D$70,I70*$C$70),2))</f>
        <v>411.55</v>
      </c>
      <c r="K71" s="12"/>
      <c r="L71" s="12"/>
    </row>
    <row r="72" spans="1:12" x14ac:dyDescent="0.25">
      <c r="A72" s="2" t="s">
        <v>137</v>
      </c>
      <c r="B72" s="5">
        <f>IF(E70=0,0,ROUND(C72*D72,2))</f>
        <v>0</v>
      </c>
      <c r="C72" s="12">
        <f>IF(E70=0,0,VLOOKUP(A70,Gegevens!$B$38:$E$47,4))</f>
        <v>0.29860999999999999</v>
      </c>
      <c r="D72" s="4">
        <f>IF(B70&gt;$D$70,(B70-$D$70),0)</f>
        <v>0</v>
      </c>
      <c r="E72" s="4"/>
      <c r="I72" s="5">
        <f>IF(K70=0,0,ROUND(J72*K72,2))</f>
        <v>0</v>
      </c>
      <c r="J72" s="12">
        <f>IF(K70=0,0,VLOOKUP(H70,Gegevens!$B$38:$E$47,4))</f>
        <v>0.29860999999999999</v>
      </c>
      <c r="K72" s="4">
        <f>IF(I70&gt;$D$70,(I70-$D$70),0)</f>
        <v>0</v>
      </c>
      <c r="L72" s="12"/>
    </row>
    <row r="73" spans="1:12" x14ac:dyDescent="0.25">
      <c r="A73" s="2" t="s">
        <v>133</v>
      </c>
      <c r="B73" s="5">
        <f>CEILING(SUM(B71:B72),1)</f>
        <v>824</v>
      </c>
      <c r="D73" s="4"/>
      <c r="E73" s="4"/>
      <c r="I73" s="5">
        <f>CEILING(SUM(I71:I72),1)</f>
        <v>412</v>
      </c>
      <c r="K73" s="12"/>
    </row>
    <row r="74" spans="1:12" x14ac:dyDescent="0.25">
      <c r="A74" s="2" t="s">
        <v>106</v>
      </c>
      <c r="B74" s="5">
        <f>IF(B73&gt;E70,E70,B73)</f>
        <v>824</v>
      </c>
      <c r="E74" s="12"/>
      <c r="H74" s="5"/>
      <c r="I74" s="5">
        <f>IF(I73&gt;K70,K70,I73)</f>
        <v>412</v>
      </c>
      <c r="K74" s="12"/>
      <c r="L74" s="12"/>
    </row>
    <row r="75" spans="1:12" x14ac:dyDescent="0.25">
      <c r="C75" s="12"/>
      <c r="E75" s="12"/>
      <c r="F75" s="2" t="s">
        <v>286</v>
      </c>
      <c r="G75" s="1">
        <f ca="1">TODAY()</f>
        <v>44928</v>
      </c>
      <c r="I75" s="12"/>
    </row>
    <row r="76" spans="1:12" x14ac:dyDescent="0.25">
      <c r="C76" s="12"/>
      <c r="E76" s="12"/>
      <c r="G76" s="2">
        <f ca="1">YEAR(G75)</f>
        <v>2023</v>
      </c>
      <c r="I76" s="2">
        <f ca="1">G76*12+1</f>
        <v>24277</v>
      </c>
    </row>
    <row r="77" spans="1:12" x14ac:dyDescent="0.25">
      <c r="A77" s="2" t="s">
        <v>141</v>
      </c>
      <c r="E77" s="12"/>
      <c r="G77" s="2">
        <f ca="1">MONTH(G75)</f>
        <v>1</v>
      </c>
    </row>
    <row r="78" spans="1:12" x14ac:dyDescent="0.25">
      <c r="E78" s="12"/>
      <c r="F78" s="2" t="s">
        <v>285</v>
      </c>
      <c r="G78" s="2">
        <v>66</v>
      </c>
      <c r="H78" s="2">
        <v>4</v>
      </c>
      <c r="I78" s="2">
        <f>G78*12+4</f>
        <v>796</v>
      </c>
      <c r="J78" s="2">
        <f>I78</f>
        <v>796</v>
      </c>
    </row>
    <row r="79" spans="1:12" x14ac:dyDescent="0.25">
      <c r="A79" s="2" t="s">
        <v>142</v>
      </c>
      <c r="E79" s="12"/>
    </row>
    <row r="80" spans="1:12" x14ac:dyDescent="0.25">
      <c r="B80" s="2" t="s">
        <v>17</v>
      </c>
      <c r="C80" s="2" t="s">
        <v>18</v>
      </c>
      <c r="E80" s="12"/>
      <c r="F80" s="2" t="s">
        <v>17</v>
      </c>
      <c r="G80" s="1">
        <f>Ingave!C19</f>
        <v>26934</v>
      </c>
      <c r="I80" s="3">
        <f>G81*12+H81</f>
        <v>23685</v>
      </c>
    </row>
    <row r="81" spans="1:11" x14ac:dyDescent="0.25">
      <c r="A81" s="2" t="str">
        <f>IF(Ingave!D36=3,Ingave!B32,IF(Ingave!D36=2,Ingave!B31,IF(Ingave!D30=1,Ingave!B30,"Geen inkomsten met AHK")))</f>
        <v>Arbeid</v>
      </c>
      <c r="B81" s="5">
        <f>IF(Ingave!D36=3,Ingave!C32,IF(Ingave!D36=2,Ingave!C31,IF(Ingave!D36=1,Ingave!C30,0)))</f>
        <v>10000</v>
      </c>
      <c r="C81" s="12"/>
      <c r="E81" s="12"/>
      <c r="G81" s="2">
        <f>YEAR(G80)</f>
        <v>1973</v>
      </c>
      <c r="H81" s="2">
        <f>MONTH(G80)</f>
        <v>9</v>
      </c>
      <c r="I81" s="3">
        <f ca="1">I76-I80</f>
        <v>592</v>
      </c>
      <c r="J81" s="3">
        <f ca="1">I81</f>
        <v>592</v>
      </c>
    </row>
    <row r="82" spans="1:11" x14ac:dyDescent="0.25">
      <c r="A82" s="2" t="str">
        <f>IF(Ingave!F36=3,Ingave!B32,IF(Ingave!F36=2,Ingave!B31,IF(Ingave!F36=1,Ingave!B30,"Geen inkomsten met AHK")))</f>
        <v>Arbeid</v>
      </c>
      <c r="C82" s="5">
        <f>IF(Ingave!F36=3,Ingave!E32,IF(Ingave!F36=2,Ingave!E31,IF(Ingave!F36=1,Ingave!E30,0)))</f>
        <v>5000</v>
      </c>
      <c r="E82" s="12"/>
      <c r="F82" s="2" t="s">
        <v>18</v>
      </c>
      <c r="G82" s="1">
        <f>Ingave!C20</f>
        <v>22049</v>
      </c>
      <c r="I82" s="3">
        <f>G83*12+H83</f>
        <v>23525</v>
      </c>
    </row>
    <row r="83" spans="1:11" x14ac:dyDescent="0.25">
      <c r="A83" s="2" t="s">
        <v>143</v>
      </c>
      <c r="B83" s="5">
        <f>IF(Ingave!D36=3,K28,0)</f>
        <v>824</v>
      </c>
      <c r="C83" s="5">
        <f>IF(Ingave!F36=3,K29,0)</f>
        <v>412</v>
      </c>
      <c r="E83" s="12"/>
      <c r="G83" s="2">
        <f>YEAR(G82)</f>
        <v>1960</v>
      </c>
      <c r="H83" s="2">
        <f>MONTH(G82)</f>
        <v>5</v>
      </c>
      <c r="I83" s="3">
        <f ca="1">I76-I82</f>
        <v>752</v>
      </c>
      <c r="J83" s="3">
        <f ca="1">I83</f>
        <v>752</v>
      </c>
    </row>
    <row r="84" spans="1:11" x14ac:dyDescent="0.25">
      <c r="E84" s="12"/>
      <c r="I84" s="3"/>
    </row>
    <row r="85" spans="1:11" x14ac:dyDescent="0.25">
      <c r="A85" s="2" t="s">
        <v>144</v>
      </c>
      <c r="I85" s="3"/>
    </row>
    <row r="86" spans="1:11" x14ac:dyDescent="0.25">
      <c r="C86" s="2" t="s">
        <v>129</v>
      </c>
      <c r="H86" s="2" t="s">
        <v>17</v>
      </c>
      <c r="I86" s="2">
        <f ca="1">IF(I81&gt;I78,1,0)</f>
        <v>0</v>
      </c>
      <c r="J86" s="2" t="b">
        <f ca="1">K88</f>
        <v>0</v>
      </c>
      <c r="K86" s="2">
        <f ca="1">DAY(G75)</f>
        <v>2</v>
      </c>
    </row>
    <row r="87" spans="1:11" x14ac:dyDescent="0.25">
      <c r="A87" s="2" t="s">
        <v>82</v>
      </c>
      <c r="B87" s="5">
        <f>B81</f>
        <v>10000</v>
      </c>
      <c r="C87" s="5"/>
      <c r="F87" s="5">
        <f>C82</f>
        <v>5000</v>
      </c>
      <c r="K87" s="2">
        <f>DAY(G80)</f>
        <v>27</v>
      </c>
    </row>
    <row r="88" spans="1:11" x14ac:dyDescent="0.25">
      <c r="A88" s="2" t="s">
        <v>126</v>
      </c>
      <c r="B88" s="5">
        <f>IF(B87&lt;$C$62,B87,$C$62)</f>
        <v>10000</v>
      </c>
      <c r="C88" s="5">
        <f>Gegevens!$D$5</f>
        <v>73030.990000000005</v>
      </c>
      <c r="F88" s="5">
        <f>IF(F87&lt;$C$62,F87,$C$62)</f>
        <v>5000</v>
      </c>
      <c r="K88" s="2" t="b">
        <f ca="1">IF(I81=I78,IF(K87&lt;=K86,1,0))</f>
        <v>0</v>
      </c>
    </row>
    <row r="89" spans="1:11" x14ac:dyDescent="0.25">
      <c r="A89" s="2" t="s">
        <v>127</v>
      </c>
      <c r="B89" s="5">
        <f>IF(B87-B88&lt;=0,0,IF(B87-B88&gt;=$C$63,$C$63,B87-B88))</f>
        <v>0</v>
      </c>
      <c r="C89" s="5">
        <f>Gegevens!$D$6-Gegevens!$C$6</f>
        <v>-73031</v>
      </c>
      <c r="F89" s="5">
        <f>IF(F87-F88&lt;=0,0,IF(F87-F88&gt;=$C$63,$C$63,F87-F88))</f>
        <v>0</v>
      </c>
      <c r="J89" s="2">
        <f ca="1">IF(G81=1900,0,LARGE(I86:J86,1))</f>
        <v>0</v>
      </c>
    </row>
    <row r="90" spans="1:11" x14ac:dyDescent="0.25">
      <c r="A90" s="2" t="s">
        <v>128</v>
      </c>
      <c r="B90" s="5">
        <f>IF(B87-B88-B89&lt;=0,0,IF(B87-B88-B89&gt;=$C$64,$C$64,B87-B88-B89))</f>
        <v>0</v>
      </c>
      <c r="C90" s="5">
        <f>Gegevens!$D$7-Gegevens!$C$7</f>
        <v>0</v>
      </c>
      <c r="F90" s="5">
        <f>IF(F87-F88-F89&lt;=0,0,IF(F87-F88-F89&gt;=$C$64,$C$64,F87-F88-F89))</f>
        <v>0</v>
      </c>
    </row>
    <row r="91" spans="1:11" x14ac:dyDescent="0.25">
      <c r="A91" s="2" t="s">
        <v>130</v>
      </c>
      <c r="B91" s="5">
        <f>IF(B87-B88-B89-B90&lt;=0,0,B87-B88-B89-B90)</f>
        <v>0</v>
      </c>
      <c r="F91" s="5">
        <f>IF(F87-F88-F89-F90&lt;=0,0,F87-F88-F89-F90)</f>
        <v>0</v>
      </c>
      <c r="H91" s="2" t="s">
        <v>18</v>
      </c>
      <c r="I91" s="2">
        <f ca="1">IF(I83&gt;I78,1,0)</f>
        <v>0</v>
      </c>
      <c r="J91" s="2" t="b">
        <f ca="1">K93</f>
        <v>0</v>
      </c>
      <c r="K91" s="2">
        <f ca="1">DAY(G75)</f>
        <v>2</v>
      </c>
    </row>
    <row r="92" spans="1:11" x14ac:dyDescent="0.25">
      <c r="K92" s="2">
        <f>DAY(G82)</f>
        <v>13</v>
      </c>
    </row>
    <row r="93" spans="1:11" x14ac:dyDescent="0.25">
      <c r="A93" s="2" t="s">
        <v>145</v>
      </c>
      <c r="B93" s="5">
        <f>B88*Gegevens!$E$5</f>
        <v>3693</v>
      </c>
      <c r="F93" s="5">
        <f>F88*Gegevens!$E$5</f>
        <v>1846.5</v>
      </c>
      <c r="K93" s="2" t="b">
        <f ca="1">IF(I83=I78,IF(K92&lt;=K91,1,0))</f>
        <v>0</v>
      </c>
    </row>
    <row r="94" spans="1:11" x14ac:dyDescent="0.25">
      <c r="B94" s="5">
        <f>B89*Gegevens!$E$6</f>
        <v>0</v>
      </c>
      <c r="F94" s="5">
        <f>F89*Gegevens!$E$6</f>
        <v>0</v>
      </c>
      <c r="J94" s="2">
        <f ca="1">IF(G83=1900,0,LARGE(I91:J91,1))</f>
        <v>0</v>
      </c>
    </row>
    <row r="95" spans="1:11" x14ac:dyDescent="0.25">
      <c r="B95" s="5">
        <f>B90*Gegevens!$E$7</f>
        <v>0</v>
      </c>
      <c r="F95" s="5">
        <f>F90*Gegevens!$E$7</f>
        <v>0</v>
      </c>
      <c r="H95" s="2" t="s">
        <v>133</v>
      </c>
      <c r="J95" s="2">
        <f ca="1">J89+J94</f>
        <v>0</v>
      </c>
    </row>
    <row r="96" spans="1:11" x14ac:dyDescent="0.25">
      <c r="B96" s="5">
        <f>B91*Gegevens!$E$8</f>
        <v>0</v>
      </c>
      <c r="F96" s="5">
        <f>F91*Gegevens!$E$8</f>
        <v>0</v>
      </c>
    </row>
    <row r="97" spans="1:8" x14ac:dyDescent="0.25">
      <c r="B97" s="5">
        <f>CEILING(SUM(B93:B96),1)</f>
        <v>3693</v>
      </c>
      <c r="F97" s="5">
        <f>CEILING(SUM(F93:F96),1)</f>
        <v>1847</v>
      </c>
      <c r="H97" s="2" t="b">
        <f ca="1">IF(J95=2,1)</f>
        <v>0</v>
      </c>
    </row>
    <row r="98" spans="1:8" x14ac:dyDescent="0.25">
      <c r="H98" s="2">
        <f ca="1">IF(J95&lt;2,IF(J89=1,2,0))</f>
        <v>0</v>
      </c>
    </row>
    <row r="99" spans="1:8" x14ac:dyDescent="0.25">
      <c r="A99" s="2" t="s">
        <v>146</v>
      </c>
      <c r="H99" s="2">
        <f ca="1">IF(J95&lt;2,IF(J94=1,3,0))</f>
        <v>0</v>
      </c>
    </row>
    <row r="100" spans="1:8" x14ac:dyDescent="0.25">
      <c r="A100" s="2" t="s">
        <v>106</v>
      </c>
      <c r="B100" s="5">
        <f>ROUND(B83/12,2)</f>
        <v>68.67</v>
      </c>
      <c r="F100" s="5">
        <f>ROUND(C83/12,2)</f>
        <v>34.33</v>
      </c>
    </row>
    <row r="101" spans="1:8" x14ac:dyDescent="0.25">
      <c r="A101" s="2" t="s">
        <v>145</v>
      </c>
      <c r="B101" s="5">
        <f>ROUND(B97/12,2)</f>
        <v>307.75</v>
      </c>
      <c r="F101" s="5">
        <f>ROUND(F97/12,2)</f>
        <v>153.91999999999999</v>
      </c>
      <c r="H101" s="2" t="str">
        <f ca="1">IF(H97=1,"Beide partners hebben de AOW-leeftijd",IF(H98=2,"Cliënt heeft de AOW leeftijd bereikt,",IF(H99=3,"Partner heeft de AOW-leeftijd bereikt,","")))</f>
        <v/>
      </c>
    </row>
    <row r="102" spans="1:8" x14ac:dyDescent="0.25">
      <c r="A102" s="2" t="s">
        <v>147</v>
      </c>
      <c r="B102" s="5">
        <f>ROUND(B87/12,2)</f>
        <v>833.33</v>
      </c>
      <c r="F102" s="5">
        <f>ROUND(F87/12,2)</f>
        <v>416.67</v>
      </c>
      <c r="H102" s="2" t="str">
        <f ca="1">IF(H97=1,"bereikt, berekening niet mogelijk!!",IF(H98=2,"berekening niet mogelijk !!!!",IF(H99=3,"berekening niet mogelijk!!!!","")))</f>
        <v/>
      </c>
    </row>
    <row r="104" spans="1:8" x14ac:dyDescent="0.25">
      <c r="A104" s="2" t="s">
        <v>149</v>
      </c>
    </row>
    <row r="105" spans="1:8" x14ac:dyDescent="0.25">
      <c r="A105" s="2" t="s">
        <v>150</v>
      </c>
      <c r="B105" s="2">
        <f>Ingave!D39</f>
        <v>12</v>
      </c>
      <c r="F105" s="2">
        <f>Ingave!F39</f>
        <v>12</v>
      </c>
    </row>
    <row r="107" spans="1:8" x14ac:dyDescent="0.25">
      <c r="A107" s="2" t="s">
        <v>145</v>
      </c>
      <c r="B107" s="5">
        <f>B101*B105</f>
        <v>3693</v>
      </c>
      <c r="F107" s="5">
        <f>F101*F105</f>
        <v>1847.04</v>
      </c>
    </row>
    <row r="108" spans="1:8" x14ac:dyDescent="0.25">
      <c r="A108" s="2" t="s">
        <v>143</v>
      </c>
      <c r="B108" s="5">
        <f>B100*B105</f>
        <v>824.04</v>
      </c>
      <c r="F108" s="5">
        <f>F100*F105</f>
        <v>411.96</v>
      </c>
    </row>
    <row r="109" spans="1:8" x14ac:dyDescent="0.25">
      <c r="A109" s="2" t="s">
        <v>152</v>
      </c>
      <c r="B109" s="5">
        <f>B107-B108</f>
        <v>2868.96</v>
      </c>
      <c r="F109" s="5">
        <f>F107-F108</f>
        <v>1435.08</v>
      </c>
    </row>
    <row r="110" spans="1:8" x14ac:dyDescent="0.25">
      <c r="A110" s="2" t="s">
        <v>153</v>
      </c>
      <c r="C110" s="5">
        <f>Gegevens!E12/12</f>
        <v>255.83333333333334</v>
      </c>
      <c r="G110" s="5">
        <f>Gegevens!E12/12</f>
        <v>255.83333333333334</v>
      </c>
    </row>
    <row r="111" spans="1:8" x14ac:dyDescent="0.25">
      <c r="A111" s="2" t="s">
        <v>152</v>
      </c>
      <c r="B111" s="5">
        <f>C110*B105</f>
        <v>3070</v>
      </c>
      <c r="F111" s="5">
        <f>G110*F105</f>
        <v>3070</v>
      </c>
    </row>
    <row r="112" spans="1:8" x14ac:dyDescent="0.25">
      <c r="A112" s="2" t="s">
        <v>154</v>
      </c>
      <c r="B112" s="5">
        <f>IF(B109&lt;B111,B109,B111)</f>
        <v>2868.96</v>
      </c>
      <c r="F112" s="5">
        <f>IF(F109&lt;F111,F109,F111)</f>
        <v>1435.08</v>
      </c>
    </row>
    <row r="113" spans="1:8" x14ac:dyDescent="0.25">
      <c r="B113" s="5">
        <f>CEILING(B112,1)</f>
        <v>2869</v>
      </c>
      <c r="F113" s="5">
        <f>CEILING(F112,1)</f>
        <v>1436</v>
      </c>
    </row>
    <row r="114" spans="1:8" x14ac:dyDescent="0.25">
      <c r="A114" s="2" t="s">
        <v>155</v>
      </c>
    </row>
    <row r="115" spans="1:8" x14ac:dyDescent="0.25">
      <c r="A115" s="2" t="str">
        <f>Ingave!B26</f>
        <v>Participatiewet</v>
      </c>
      <c r="B115" s="5">
        <f>Ingave!C26</f>
        <v>3000</v>
      </c>
      <c r="E115" s="2" t="str">
        <f>Ingave!B26</f>
        <v>Participatiewet</v>
      </c>
      <c r="F115" s="5">
        <f>Ingave!E26</f>
        <v>3000</v>
      </c>
    </row>
    <row r="116" spans="1:8" x14ac:dyDescent="0.25">
      <c r="B116" s="5"/>
      <c r="F116" s="5"/>
    </row>
    <row r="117" spans="1:8" x14ac:dyDescent="0.25">
      <c r="A117" s="2" t="str">
        <f>Ingave!B27</f>
        <v>Partneralimentatie</v>
      </c>
      <c r="B117" s="5">
        <f>Ingave!C27</f>
        <v>0</v>
      </c>
    </row>
    <row r="118" spans="1:8" x14ac:dyDescent="0.25">
      <c r="A118" s="2" t="s">
        <v>156</v>
      </c>
      <c r="B118" s="1">
        <f>Ingave!C14</f>
        <v>44927</v>
      </c>
      <c r="C118" s="1">
        <f>Ingave!E14</f>
        <v>45138</v>
      </c>
      <c r="D118" s="3">
        <f>IF(C118-B118=0,0,C118-B118+1)</f>
        <v>212</v>
      </c>
    </row>
    <row r="119" spans="1:8" x14ac:dyDescent="0.25">
      <c r="B119" s="1">
        <f>Ingave!C15</f>
        <v>45139</v>
      </c>
      <c r="C119" s="1">
        <f>Ingave!E15</f>
        <v>45291</v>
      </c>
      <c r="D119" s="3">
        <f>IF(C119-B119=0,0,C119-B119+1)</f>
        <v>153</v>
      </c>
    </row>
    <row r="120" spans="1:8" x14ac:dyDescent="0.25">
      <c r="B120" s="1">
        <f>Ingave!C16</f>
        <v>0</v>
      </c>
      <c r="C120" s="1">
        <f>Ingave!E16</f>
        <v>0</v>
      </c>
      <c r="D120" s="3">
        <f>IF(C120-B120=0,0,C120-B120+1)</f>
        <v>0</v>
      </c>
    </row>
    <row r="121" spans="1:8" x14ac:dyDescent="0.25">
      <c r="B121" s="1">
        <f>Ingave!C17</f>
        <v>0</v>
      </c>
      <c r="C121" s="1">
        <f>Ingave!E17</f>
        <v>0</v>
      </c>
      <c r="D121" s="3">
        <f>IF(C121-B121=0,0,C121-B121+1)</f>
        <v>0</v>
      </c>
    </row>
    <row r="122" spans="1:8" x14ac:dyDescent="0.25">
      <c r="D122" s="3">
        <f>SUM(D118:D121)</f>
        <v>365</v>
      </c>
    </row>
    <row r="123" spans="1:8" x14ac:dyDescent="0.25">
      <c r="A123" s="2" t="s">
        <v>140</v>
      </c>
      <c r="B123" s="5">
        <f>Gegevens!E12</f>
        <v>3070</v>
      </c>
      <c r="F123" s="5">
        <f>Gegevens!E12</f>
        <v>3070</v>
      </c>
      <c r="H123" s="2" t="s">
        <v>157</v>
      </c>
    </row>
    <row r="124" spans="1:8" x14ac:dyDescent="0.25">
      <c r="A124" s="2" t="s">
        <v>140</v>
      </c>
      <c r="B124" s="5">
        <f>CEILING(B123/H124*D122,1)</f>
        <v>3070</v>
      </c>
      <c r="F124" s="5">
        <f>CEILING(F123/H124*D122,2)</f>
        <v>3070</v>
      </c>
      <c r="H124" s="3">
        <f>G7</f>
        <v>365</v>
      </c>
    </row>
    <row r="125" spans="1:8" x14ac:dyDescent="0.25">
      <c r="A125" s="2" t="s">
        <v>158</v>
      </c>
      <c r="B125" s="5">
        <f>B113</f>
        <v>2869</v>
      </c>
      <c r="F125" s="5">
        <f>F113</f>
        <v>1436</v>
      </c>
    </row>
    <row r="126" spans="1:8" x14ac:dyDescent="0.25">
      <c r="A126" s="2" t="s">
        <v>159</v>
      </c>
      <c r="B126" s="5">
        <f>B124-B125</f>
        <v>201</v>
      </c>
      <c r="F126" s="5">
        <f>F124-F125</f>
        <v>1634</v>
      </c>
    </row>
    <row r="128" spans="1:8" x14ac:dyDescent="0.25">
      <c r="A128" s="2" t="s">
        <v>160</v>
      </c>
      <c r="B128" s="5">
        <f>B115+B117</f>
        <v>3000</v>
      </c>
      <c r="F128" s="5">
        <f>F115+F116</f>
        <v>3000</v>
      </c>
    </row>
    <row r="129" spans="1:6" x14ac:dyDescent="0.25">
      <c r="A129" s="2" t="s">
        <v>161</v>
      </c>
      <c r="B129" s="5">
        <f>B126</f>
        <v>201</v>
      </c>
      <c r="F129" s="5">
        <f>F126</f>
        <v>1634</v>
      </c>
    </row>
    <row r="130" spans="1:6" x14ac:dyDescent="0.25">
      <c r="A130" s="2" t="s">
        <v>162</v>
      </c>
      <c r="B130" s="5">
        <f>IF(B128-B129&lt;0,0,B128-B129)</f>
        <v>2799</v>
      </c>
      <c r="F130" s="5">
        <f>IF(F128-F129&lt;0,0,F128-F129)</f>
        <v>1366</v>
      </c>
    </row>
    <row r="131" spans="1:6" x14ac:dyDescent="0.25">
      <c r="A131" s="2" t="s">
        <v>163</v>
      </c>
      <c r="C131" s="7">
        <f>Gegevens!I11</f>
        <v>0.58550000000000002</v>
      </c>
    </row>
    <row r="132" spans="1:6" x14ac:dyDescent="0.25">
      <c r="A132" s="2" t="s">
        <v>145</v>
      </c>
      <c r="B132" s="5">
        <f>B130*C131</f>
        <v>1638.8145</v>
      </c>
      <c r="F132" s="5">
        <f>F130*C131</f>
        <v>799.79300000000001</v>
      </c>
    </row>
    <row r="133" spans="1:6" x14ac:dyDescent="0.25">
      <c r="A133" s="2" t="s">
        <v>161</v>
      </c>
      <c r="B133" s="5">
        <f>B126</f>
        <v>201</v>
      </c>
      <c r="F133" s="5">
        <f>F126</f>
        <v>1634</v>
      </c>
    </row>
    <row r="134" spans="1:6" x14ac:dyDescent="0.25">
      <c r="A134" s="2" t="s">
        <v>165</v>
      </c>
      <c r="B134" s="5">
        <f>IF(B132-B133&lt;0,0,B132-B133)</f>
        <v>1437.8145</v>
      </c>
      <c r="F134" s="5">
        <f>IF(F132-F133&lt;0,0,F132-F133)</f>
        <v>0</v>
      </c>
    </row>
    <row r="135" spans="1:6" x14ac:dyDescent="0.25">
      <c r="A135" s="2" t="s">
        <v>166</v>
      </c>
      <c r="B135" s="5">
        <f>CEILING(B134,1)</f>
        <v>1438</v>
      </c>
      <c r="F135" s="5">
        <f>CEILING(F134,1)</f>
        <v>0</v>
      </c>
    </row>
    <row r="137" spans="1:6" x14ac:dyDescent="0.25">
      <c r="A137" s="2" t="s">
        <v>167</v>
      </c>
      <c r="B137" s="5">
        <f>B128</f>
        <v>3000</v>
      </c>
      <c r="F137" s="5">
        <f>F128</f>
        <v>3000</v>
      </c>
    </row>
    <row r="138" spans="1:6" x14ac:dyDescent="0.25">
      <c r="A138" s="2" t="s">
        <v>166</v>
      </c>
      <c r="B138" s="5">
        <f>B135</f>
        <v>1438</v>
      </c>
      <c r="F138" s="5">
        <f>F135</f>
        <v>0</v>
      </c>
    </row>
    <row r="139" spans="1:6" x14ac:dyDescent="0.25">
      <c r="A139" s="2" t="s">
        <v>168</v>
      </c>
      <c r="B139" s="5">
        <f>B137+B138</f>
        <v>4438</v>
      </c>
      <c r="F139" s="5">
        <f>F137+F138</f>
        <v>3000</v>
      </c>
    </row>
    <row r="140" spans="1:6" x14ac:dyDescent="0.25">
      <c r="A140" s="2" t="s">
        <v>169</v>
      </c>
      <c r="C140" s="7">
        <f>Gegevens!I13</f>
        <v>6.6799999999999998E-2</v>
      </c>
    </row>
    <row r="141" spans="1:6" x14ac:dyDescent="0.25">
      <c r="A141" s="2" t="s">
        <v>170</v>
      </c>
      <c r="B141" s="5">
        <f>B139*C140</f>
        <v>296.45839999999998</v>
      </c>
      <c r="F141" s="5">
        <f>F139*C140</f>
        <v>200.4</v>
      </c>
    </row>
    <row r="142" spans="1:6" x14ac:dyDescent="0.25">
      <c r="A142" s="2" t="s">
        <v>164</v>
      </c>
      <c r="B142" s="5">
        <f>CEILING(B141,1)</f>
        <v>297</v>
      </c>
      <c r="F142" s="5">
        <f>CEILING(F141,1)</f>
        <v>201</v>
      </c>
    </row>
    <row r="144" spans="1:6" x14ac:dyDescent="0.25">
      <c r="A144" s="2" t="str">
        <f>A137</f>
        <v>Netto bijstand</v>
      </c>
      <c r="B144" s="5">
        <f>B128</f>
        <v>3000</v>
      </c>
      <c r="F144" s="5">
        <f>F137</f>
        <v>3000</v>
      </c>
    </row>
    <row r="145" spans="1:6" x14ac:dyDescent="0.25">
      <c r="A145" s="2" t="str">
        <f>A135</f>
        <v>LH</v>
      </c>
      <c r="B145" s="5">
        <f>B135</f>
        <v>1438</v>
      </c>
      <c r="F145" s="5">
        <f>F138</f>
        <v>0</v>
      </c>
    </row>
    <row r="146" spans="1:6" x14ac:dyDescent="0.25">
      <c r="A146" s="2" t="str">
        <f>A141</f>
        <v>ZVW premie</v>
      </c>
      <c r="B146" s="5">
        <v>0</v>
      </c>
      <c r="F146" s="5"/>
    </row>
    <row r="147" spans="1:6" x14ac:dyDescent="0.25">
      <c r="A147" s="2" t="s">
        <v>171</v>
      </c>
      <c r="B147" s="5">
        <f>SUM(B144:B146)</f>
        <v>4438</v>
      </c>
      <c r="F147" s="5">
        <f>SUM(F144:F146)</f>
        <v>3000</v>
      </c>
    </row>
    <row r="149" spans="1:6" x14ac:dyDescent="0.25">
      <c r="B149" s="5"/>
      <c r="F149" s="5">
        <f>CEILING(F147,10)</f>
        <v>3000</v>
      </c>
    </row>
    <row r="150" spans="1:6" x14ac:dyDescent="0.25">
      <c r="B150" s="5"/>
    </row>
    <row r="151" spans="1:6" x14ac:dyDescent="0.25">
      <c r="B151" s="5"/>
    </row>
    <row r="152" spans="1:6" x14ac:dyDescent="0.25">
      <c r="A152" s="2" t="s">
        <v>283</v>
      </c>
      <c r="B152" s="5"/>
    </row>
    <row r="153" spans="1:6" x14ac:dyDescent="0.25">
      <c r="A153" s="6" t="str">
        <f>IF(Ingave!E31=0,"Nee","Ja")</f>
        <v>Nee</v>
      </c>
      <c r="B153" s="5"/>
      <c r="C153" s="2">
        <f>IF(A153="Ja",Gegevens!E24,0)</f>
        <v>0</v>
      </c>
    </row>
    <row r="154" spans="1:6" x14ac:dyDescent="0.25">
      <c r="B154" s="5"/>
    </row>
    <row r="155" spans="1:6" x14ac:dyDescent="0.25">
      <c r="C155" s="7"/>
    </row>
    <row r="156" spans="1:6" x14ac:dyDescent="0.25">
      <c r="B156" s="5"/>
    </row>
    <row r="157" spans="1:6" x14ac:dyDescent="0.25">
      <c r="B157" s="5"/>
    </row>
    <row r="158" spans="1:6" x14ac:dyDescent="0.25">
      <c r="C158" s="7"/>
    </row>
    <row r="159" spans="1:6" x14ac:dyDescent="0.25">
      <c r="B159" s="5"/>
    </row>
    <row r="160" spans="1:6" x14ac:dyDescent="0.25">
      <c r="B160" s="5"/>
    </row>
    <row r="162" spans="1:14" x14ac:dyDescent="0.25">
      <c r="A162" s="2" t="s">
        <v>173</v>
      </c>
      <c r="B162" s="5">
        <f>B147</f>
        <v>4438</v>
      </c>
    </row>
    <row r="164" spans="1:14" x14ac:dyDescent="0.25">
      <c r="B164" s="5">
        <f>CEILING(B162,10)</f>
        <v>4440</v>
      </c>
    </row>
    <row r="165" spans="1:14" x14ac:dyDescent="0.25">
      <c r="I165" s="2" t="str">
        <f>Gegevens!E50</f>
        <v>Aantal dagen in februari</v>
      </c>
      <c r="K165" s="2">
        <f>Gegevens!G50</f>
        <v>28</v>
      </c>
    </row>
    <row r="166" spans="1:14" x14ac:dyDescent="0.25">
      <c r="A166" s="2" t="s">
        <v>181</v>
      </c>
    </row>
    <row r="167" spans="1:14" x14ac:dyDescent="0.25">
      <c r="A167" s="2" t="s">
        <v>156</v>
      </c>
      <c r="B167" s="1">
        <f>Ingave!C14</f>
        <v>44927</v>
      </c>
      <c r="C167" s="1">
        <f>Ingave!E14</f>
        <v>45138</v>
      </c>
      <c r="E167" s="1">
        <f>Ingave!C15</f>
        <v>45139</v>
      </c>
      <c r="F167" s="1">
        <f>Ingave!E15</f>
        <v>45291</v>
      </c>
      <c r="H167" s="1">
        <f>Ingave!C16</f>
        <v>0</v>
      </c>
      <c r="I167" s="1">
        <f>Ingave!E16</f>
        <v>0</v>
      </c>
      <c r="K167" s="1">
        <f>Ingave!C17</f>
        <v>0</v>
      </c>
      <c r="L167" s="1">
        <f>Ingave!E17</f>
        <v>0</v>
      </c>
    </row>
    <row r="168" spans="1:14" x14ac:dyDescent="0.25">
      <c r="A168" s="2" t="s">
        <v>183</v>
      </c>
      <c r="B168" s="2">
        <f>MONTH(B167)</f>
        <v>1</v>
      </c>
      <c r="C168" s="2">
        <f>MONTH(C167)</f>
        <v>7</v>
      </c>
      <c r="E168" s="2">
        <f>MONTH(E167)</f>
        <v>8</v>
      </c>
      <c r="F168" s="2">
        <f>MONTH(F167)</f>
        <v>12</v>
      </c>
      <c r="H168" s="2">
        <f>MONTH(H167)</f>
        <v>1</v>
      </c>
      <c r="I168" s="2">
        <f>MONTH(I167)</f>
        <v>1</v>
      </c>
      <c r="K168" s="2">
        <f>MONTH(K167)</f>
        <v>1</v>
      </c>
      <c r="L168" s="2">
        <f>MONTH(L167)</f>
        <v>1</v>
      </c>
    </row>
    <row r="169" spans="1:14" x14ac:dyDescent="0.25">
      <c r="A169" s="2" t="s">
        <v>184</v>
      </c>
      <c r="B169" s="2">
        <f>DAY(B167)</f>
        <v>1</v>
      </c>
      <c r="C169" s="2">
        <f>DAY(C167)</f>
        <v>31</v>
      </c>
      <c r="E169" s="2">
        <f>DAY(E167)</f>
        <v>1</v>
      </c>
      <c r="F169" s="2">
        <f>DAY(F167)</f>
        <v>31</v>
      </c>
      <c r="H169" s="2">
        <f>DAY(H167)</f>
        <v>0</v>
      </c>
      <c r="I169" s="2">
        <f>DAY(I167)</f>
        <v>0</v>
      </c>
      <c r="K169" s="2">
        <f>DAY(K167)</f>
        <v>0</v>
      </c>
      <c r="L169" s="2">
        <f>DAY(L167)</f>
        <v>0</v>
      </c>
      <c r="N169" s="2" t="s">
        <v>133</v>
      </c>
    </row>
    <row r="170" spans="1:14" x14ac:dyDescent="0.25">
      <c r="D170" s="2" t="s">
        <v>185</v>
      </c>
      <c r="G170" s="2" t="s">
        <v>185</v>
      </c>
      <c r="J170" s="2" t="s">
        <v>185</v>
      </c>
      <c r="M170" s="2" t="s">
        <v>185</v>
      </c>
      <c r="N170" s="2" t="s">
        <v>185</v>
      </c>
    </row>
    <row r="171" spans="1:14" x14ac:dyDescent="0.25">
      <c r="A171" s="2" t="s">
        <v>32</v>
      </c>
      <c r="B171" s="2">
        <f>IF(B169=0,1,IF(B168=1,$B169,1))</f>
        <v>1</v>
      </c>
      <c r="C171" s="2">
        <f>IF(C168=1,C169,IF(B168&gt;1,0,31))</f>
        <v>31</v>
      </c>
      <c r="D171" s="2">
        <f>C171-B171+1</f>
        <v>31</v>
      </c>
      <c r="E171" s="2">
        <f>IF(E169=0,1,IF($E$168=1,$E$169,1))</f>
        <v>1</v>
      </c>
      <c r="F171" s="2">
        <f>IF(F168=1,F169,IF(E168&gt;1,0,31))</f>
        <v>0</v>
      </c>
      <c r="G171" s="2">
        <f>F171-E171+1</f>
        <v>0</v>
      </c>
      <c r="H171" s="2">
        <f>IF(H169=0,1,IF($H$168=1,$H$169,1))</f>
        <v>1</v>
      </c>
      <c r="I171" s="2">
        <f>IF(I168=1,I169,IF(H168&gt;1,0,31))</f>
        <v>0</v>
      </c>
      <c r="J171" s="2">
        <f>I171-H171+1</f>
        <v>0</v>
      </c>
      <c r="K171" s="2">
        <f>IF(K169=0,1,IF($K$168=1,$K$169,1))</f>
        <v>1</v>
      </c>
      <c r="L171" s="2">
        <f>IF(L168=1,L169,IF(K168&gt;1,0,31))</f>
        <v>0</v>
      </c>
      <c r="M171" s="2">
        <f>L171-K171+1</f>
        <v>0</v>
      </c>
      <c r="N171" s="2">
        <f>D171+G171+J171+M171</f>
        <v>31</v>
      </c>
    </row>
    <row r="172" spans="1:14" x14ac:dyDescent="0.25">
      <c r="A172" s="2" t="s">
        <v>33</v>
      </c>
      <c r="B172" s="2">
        <f>IF($B$168=2,$B$169,1)</f>
        <v>1</v>
      </c>
      <c r="C172" s="2">
        <f>IF(C168=2,C169,IF(B168&gt;2,0,IF(C168&lt;2,0,$K$165)))</f>
        <v>28</v>
      </c>
      <c r="D172" s="2">
        <f>C172-B172+1</f>
        <v>28</v>
      </c>
      <c r="E172" s="2">
        <f>IF($E$168=2,$E$169,1)</f>
        <v>1</v>
      </c>
      <c r="F172" s="2">
        <f>IF(F168=2,F169,IF(E168&gt;2,0,IF(F168&lt;2,0,$K$165)))</f>
        <v>0</v>
      </c>
      <c r="G172" s="2">
        <f t="shared" ref="G172:G182" si="0">F172-E172+1</f>
        <v>0</v>
      </c>
      <c r="H172" s="2">
        <f>IF($H$168=2,$H$169,1)</f>
        <v>1</v>
      </c>
      <c r="I172" s="2">
        <f>IF(I168=2,I169,IF(H168&gt;2,0,IF(I168&lt;2,0,$K$165)))</f>
        <v>0</v>
      </c>
      <c r="J172" s="2">
        <f t="shared" ref="J172:J182" si="1">I172-H172+1</f>
        <v>0</v>
      </c>
      <c r="K172" s="2">
        <f>IF($K$168=2,$K$169,1)</f>
        <v>1</v>
      </c>
      <c r="L172" s="2">
        <f>IF(L168=2,L169,IF(K168&gt;2,0,IF(L168&lt;2,0,$K$165)))</f>
        <v>0</v>
      </c>
      <c r="M172" s="2">
        <f t="shared" ref="M172:M182" si="2">L172-K172+1</f>
        <v>0</v>
      </c>
      <c r="N172" s="2">
        <f t="shared" ref="N172:N182" si="3">D172+G172+J172+M172</f>
        <v>28</v>
      </c>
    </row>
    <row r="173" spans="1:14" x14ac:dyDescent="0.25">
      <c r="A173" s="2" t="s">
        <v>34</v>
      </c>
      <c r="B173" s="2">
        <f>IF($B$168=3,$B$169,1)</f>
        <v>1</v>
      </c>
      <c r="C173" s="2">
        <f>IF(C168=3,C169,IF(B168&gt;3,0,IF(C168&lt;3,0,31)))</f>
        <v>31</v>
      </c>
      <c r="D173" s="2">
        <f>C173-B173+1</f>
        <v>31</v>
      </c>
      <c r="E173" s="2">
        <f>IF($E$168=3,$E$169,1)</f>
        <v>1</v>
      </c>
      <c r="F173" s="2">
        <f>IF(F168=3,F169,IF(E168&gt;3,0,IF(F168&lt;3,0,31)))</f>
        <v>0</v>
      </c>
      <c r="G173" s="2">
        <f t="shared" si="0"/>
        <v>0</v>
      </c>
      <c r="H173" s="2">
        <f>IF($H$168=3,$H$169,1)</f>
        <v>1</v>
      </c>
      <c r="I173" s="2">
        <f>IF(I168=3,I169,IF(H168&gt;3,0,IF(I168&lt;3,0,31)))</f>
        <v>0</v>
      </c>
      <c r="J173" s="2">
        <f t="shared" si="1"/>
        <v>0</v>
      </c>
      <c r="K173" s="2">
        <f>IF($K$168=3,$K$169,1)</f>
        <v>1</v>
      </c>
      <c r="L173" s="2">
        <f>IF(L168=3,L169,IF(K168&gt;3,0,IF(L168&lt;3,0,31)))</f>
        <v>0</v>
      </c>
      <c r="M173" s="2">
        <f t="shared" si="2"/>
        <v>0</v>
      </c>
      <c r="N173" s="2">
        <f t="shared" si="3"/>
        <v>31</v>
      </c>
    </row>
    <row r="174" spans="1:14" x14ac:dyDescent="0.25">
      <c r="A174" s="2" t="s">
        <v>35</v>
      </c>
      <c r="B174" s="2">
        <f>IF($B$168=4,$B$169,1)</f>
        <v>1</v>
      </c>
      <c r="C174" s="2">
        <f>IF(C168=4,C169,IF(B168&gt;4,0,IF(C168&lt;4,0,30)))</f>
        <v>30</v>
      </c>
      <c r="D174" s="2">
        <f t="shared" ref="D174:D182" si="4">C174-B174+1</f>
        <v>30</v>
      </c>
      <c r="E174" s="2">
        <f>IF($E$168=4,$E$169,1)</f>
        <v>1</v>
      </c>
      <c r="F174" s="2">
        <f>IF(F168=4,F169,IF(E168&gt;4,0,IF(F168&lt;4,0,30)))</f>
        <v>0</v>
      </c>
      <c r="G174" s="2">
        <f t="shared" si="0"/>
        <v>0</v>
      </c>
      <c r="H174" s="2">
        <f>IF($H$168=4,$H$169,1)</f>
        <v>1</v>
      </c>
      <c r="I174" s="2">
        <f>IF(I168=4,I169,IF(H168&gt;4,0,IF(I168&lt;4,0,30)))</f>
        <v>0</v>
      </c>
      <c r="J174" s="2">
        <f t="shared" si="1"/>
        <v>0</v>
      </c>
      <c r="K174" s="2">
        <f>IF($K$168=4,$K$169,1)</f>
        <v>1</v>
      </c>
      <c r="L174" s="2">
        <f>IF(L168=4,L169,IF(K168&gt;4,0,IF(L168&lt;4,0,30)))</f>
        <v>0</v>
      </c>
      <c r="M174" s="2">
        <f t="shared" si="2"/>
        <v>0</v>
      </c>
      <c r="N174" s="2">
        <f t="shared" si="3"/>
        <v>30</v>
      </c>
    </row>
    <row r="175" spans="1:14" x14ac:dyDescent="0.25">
      <c r="A175" s="2" t="s">
        <v>36</v>
      </c>
      <c r="B175" s="2">
        <f>IF($B$168=5,$B$169,1)</f>
        <v>1</v>
      </c>
      <c r="C175" s="2">
        <f>IF(C168=5,C169,IF(B168&gt;5,0,IF(C168&lt;5,0,31)))</f>
        <v>31</v>
      </c>
      <c r="D175" s="2">
        <f t="shared" si="4"/>
        <v>31</v>
      </c>
      <c r="E175" s="2">
        <f>IF($E$168=5,$E$169,1)</f>
        <v>1</v>
      </c>
      <c r="F175" s="2">
        <f>IF(F168=5,F169,IF(E168&gt;5,0,IF(F168&lt;5,0,31)))</f>
        <v>0</v>
      </c>
      <c r="G175" s="2">
        <f t="shared" si="0"/>
        <v>0</v>
      </c>
      <c r="H175" s="2">
        <f>IF($H$168=5,$H$169,1)</f>
        <v>1</v>
      </c>
      <c r="I175" s="2">
        <f>IF(I168=5,I169,IF(H168&gt;5,0,IF(I168&lt;5,0,31)))</f>
        <v>0</v>
      </c>
      <c r="J175" s="2">
        <f t="shared" si="1"/>
        <v>0</v>
      </c>
      <c r="K175" s="2">
        <f>IF($K$168=5,$K$169,1)</f>
        <v>1</v>
      </c>
      <c r="L175" s="2">
        <f>IF(L168=5,L169,IF(K168&gt;5,0,IF(L168&lt;5,0,31)))</f>
        <v>0</v>
      </c>
      <c r="M175" s="2">
        <f t="shared" si="2"/>
        <v>0</v>
      </c>
      <c r="N175" s="2">
        <f t="shared" si="3"/>
        <v>31</v>
      </c>
    </row>
    <row r="176" spans="1:14" x14ac:dyDescent="0.25">
      <c r="A176" s="2" t="s">
        <v>37</v>
      </c>
      <c r="B176" s="2">
        <f>IF($B$168=6,$B$169,1)</f>
        <v>1</v>
      </c>
      <c r="C176" s="2">
        <f>IF(C168=6,C169,IF(B168&gt;6,0,IF(C168&lt;6,0,30)))</f>
        <v>30</v>
      </c>
      <c r="D176" s="2">
        <f t="shared" si="4"/>
        <v>30</v>
      </c>
      <c r="E176" s="2">
        <f>IF($E$168=6,$E$169,1)</f>
        <v>1</v>
      </c>
      <c r="F176" s="2">
        <f>IF(F168=6,F169,IF(E168&gt;6,0,IF(F168&lt;6,0,30)))</f>
        <v>0</v>
      </c>
      <c r="G176" s="2">
        <f t="shared" si="0"/>
        <v>0</v>
      </c>
      <c r="H176" s="2">
        <f>IF($H$168=6,$H$169,1)</f>
        <v>1</v>
      </c>
      <c r="I176" s="2">
        <f>IF(I168=6,I169,IF(H168&gt;6,0,IF(I168&lt;6,0,30)))</f>
        <v>0</v>
      </c>
      <c r="J176" s="2">
        <f t="shared" si="1"/>
        <v>0</v>
      </c>
      <c r="K176" s="2">
        <f>IF($K$168=6,$K$169,1)</f>
        <v>1</v>
      </c>
      <c r="L176" s="2">
        <f>IF(L168=6,L169,IF(K168&gt;6,0,IF(L168&lt;6,0,30)))</f>
        <v>0</v>
      </c>
      <c r="M176" s="2">
        <f t="shared" si="2"/>
        <v>0</v>
      </c>
      <c r="N176" s="2">
        <f t="shared" si="3"/>
        <v>30</v>
      </c>
    </row>
    <row r="177" spans="1:14" x14ac:dyDescent="0.25">
      <c r="A177" s="2" t="s">
        <v>38</v>
      </c>
      <c r="B177" s="2">
        <f>IF($B$168=7,$B$169,1)</f>
        <v>1</v>
      </c>
      <c r="C177" s="2">
        <f>IF(C168=7,C169,IF(B168&gt;7,0,IF(C168&lt;7,0,31)))</f>
        <v>31</v>
      </c>
      <c r="D177" s="2">
        <f t="shared" si="4"/>
        <v>31</v>
      </c>
      <c r="E177" s="2">
        <f>IF($E$168=7,$E$169,1)</f>
        <v>1</v>
      </c>
      <c r="F177" s="2">
        <f>IF(F168=7,F169,IF(E168&gt;7,0,IF(F168&lt;7,0,31)))</f>
        <v>0</v>
      </c>
      <c r="G177" s="2">
        <f t="shared" si="0"/>
        <v>0</v>
      </c>
      <c r="H177" s="2">
        <f>IF($H$168=7,$H$169,1)</f>
        <v>1</v>
      </c>
      <c r="I177" s="2">
        <f>IF(I168=7,I169,IF(H168&gt;7,0,IF(I168&lt;7,0,31)))</f>
        <v>0</v>
      </c>
      <c r="J177" s="2">
        <f t="shared" si="1"/>
        <v>0</v>
      </c>
      <c r="K177" s="2">
        <f>IF($K$168=7,$K$169,1)</f>
        <v>1</v>
      </c>
      <c r="L177" s="2">
        <f>IF(L168=7,L169,IF(K168&gt;7,0,IF(L168&lt;7,0,31)))</f>
        <v>0</v>
      </c>
      <c r="M177" s="2">
        <f t="shared" si="2"/>
        <v>0</v>
      </c>
      <c r="N177" s="2">
        <f t="shared" si="3"/>
        <v>31</v>
      </c>
    </row>
    <row r="178" spans="1:14" x14ac:dyDescent="0.25">
      <c r="A178" s="2" t="s">
        <v>39</v>
      </c>
      <c r="B178" s="2">
        <f>IF($B$168=8,$B$169,1)</f>
        <v>1</v>
      </c>
      <c r="C178" s="2">
        <f>IF(C168=8,C169,IF(B168&gt;8,0,IF(C168&lt;8,0,31)))</f>
        <v>0</v>
      </c>
      <c r="D178" s="2">
        <f t="shared" si="4"/>
        <v>0</v>
      </c>
      <c r="E178" s="2">
        <f>IF($E$168=8,$E$169,1)</f>
        <v>1</v>
      </c>
      <c r="F178" s="2">
        <f>IF(F168=8,F169,IF(E168&gt;8,0,IF(F168&lt;8,0,31)))</f>
        <v>31</v>
      </c>
      <c r="G178" s="2">
        <f t="shared" si="0"/>
        <v>31</v>
      </c>
      <c r="H178" s="2">
        <f>IF($H$168=8,$H$169,1)</f>
        <v>1</v>
      </c>
      <c r="I178" s="2">
        <f>IF(I168=8,I169,IF(H168&gt;8,0,IF(I168&lt;8,0,31)))</f>
        <v>0</v>
      </c>
      <c r="J178" s="2">
        <f t="shared" si="1"/>
        <v>0</v>
      </c>
      <c r="K178" s="2">
        <f>IF($K$168=8,$K$169,1)</f>
        <v>1</v>
      </c>
      <c r="L178" s="2">
        <f>IF(L168=8,L169,IF(K168&gt;8,0,IF(L168&lt;8,0,31)))</f>
        <v>0</v>
      </c>
      <c r="M178" s="2">
        <f t="shared" si="2"/>
        <v>0</v>
      </c>
      <c r="N178" s="2">
        <f t="shared" si="3"/>
        <v>31</v>
      </c>
    </row>
    <row r="179" spans="1:14" x14ac:dyDescent="0.25">
      <c r="A179" s="2" t="s">
        <v>40</v>
      </c>
      <c r="B179" s="2">
        <f>IF($B$168=9,$B$169,1)</f>
        <v>1</v>
      </c>
      <c r="C179" s="2">
        <f>IF(C168=9,C169,IF(B168&gt;9,0,IF(C168&lt;9,0,30)))</f>
        <v>0</v>
      </c>
      <c r="D179" s="2">
        <f t="shared" si="4"/>
        <v>0</v>
      </c>
      <c r="E179" s="2">
        <f>IF($E$168=9,$E$169,1)</f>
        <v>1</v>
      </c>
      <c r="F179" s="2">
        <f>IF(F168=9,F169,IF(E168&gt;9,0,IF(F168&lt;9,0,30)))</f>
        <v>30</v>
      </c>
      <c r="G179" s="2">
        <f t="shared" si="0"/>
        <v>30</v>
      </c>
      <c r="H179" s="2">
        <f>IF($H$168=9,$H$169,1)</f>
        <v>1</v>
      </c>
      <c r="I179" s="2">
        <f>IF(I168=9,I169,IF(H168&gt;9,0,IF(I168&lt;9,0,30)))</f>
        <v>0</v>
      </c>
      <c r="J179" s="2">
        <f t="shared" si="1"/>
        <v>0</v>
      </c>
      <c r="K179" s="2">
        <f>IF($K$168=9,$K$169,1)</f>
        <v>1</v>
      </c>
      <c r="L179" s="2">
        <f>IF(L168=9,L169,IF(K168&gt;9,0,IF(L168&lt;9,0,30)))</f>
        <v>0</v>
      </c>
      <c r="M179" s="2">
        <f t="shared" si="2"/>
        <v>0</v>
      </c>
      <c r="N179" s="2">
        <f t="shared" si="3"/>
        <v>30</v>
      </c>
    </row>
    <row r="180" spans="1:14" x14ac:dyDescent="0.25">
      <c r="A180" s="2" t="s">
        <v>41</v>
      </c>
      <c r="B180" s="2">
        <f>IF($B$168=10,$B$169,1)</f>
        <v>1</v>
      </c>
      <c r="C180" s="2">
        <f>IF(C168=10,C169,IF(B168&gt;10,0,IF(C168&lt;10,0,31)))</f>
        <v>0</v>
      </c>
      <c r="D180" s="2">
        <f t="shared" si="4"/>
        <v>0</v>
      </c>
      <c r="E180" s="2">
        <f>IF($E$168=10,$E$169,1)</f>
        <v>1</v>
      </c>
      <c r="F180" s="2">
        <f>IF(F168=10,F169,IF(E168&gt;10,0,IF(F168&lt;10,0,31)))</f>
        <v>31</v>
      </c>
      <c r="G180" s="2">
        <f t="shared" si="0"/>
        <v>31</v>
      </c>
      <c r="H180" s="2">
        <f>IF($H$168=10,$H$169,1)</f>
        <v>1</v>
      </c>
      <c r="I180" s="2">
        <f>IF(I168=10,I169,IF(H168&gt;10,0,IF(I168&lt;10,0,31)))</f>
        <v>0</v>
      </c>
      <c r="J180" s="2">
        <f t="shared" si="1"/>
        <v>0</v>
      </c>
      <c r="K180" s="2">
        <f>IF($K$168=10,$K$169,1)</f>
        <v>1</v>
      </c>
      <c r="L180" s="2">
        <f>IF(L168=10,L169,IF(K168&gt;10,0,IF(L168&lt;10,0,31)))</f>
        <v>0</v>
      </c>
      <c r="M180" s="2">
        <f t="shared" si="2"/>
        <v>0</v>
      </c>
      <c r="N180" s="2">
        <f t="shared" si="3"/>
        <v>31</v>
      </c>
    </row>
    <row r="181" spans="1:14" x14ac:dyDescent="0.25">
      <c r="A181" s="2" t="s">
        <v>42</v>
      </c>
      <c r="B181" s="2">
        <f>IF($B$168=11,$B$169,1)</f>
        <v>1</v>
      </c>
      <c r="C181" s="2">
        <f>IF(C168=11,C169,IF(B168&gt;11,0,IF(C168&lt;11,0,30)))</f>
        <v>0</v>
      </c>
      <c r="D181" s="2">
        <f t="shared" si="4"/>
        <v>0</v>
      </c>
      <c r="E181" s="2">
        <f>IF($E$168=11,$E$169,1)</f>
        <v>1</v>
      </c>
      <c r="F181" s="2">
        <f>IF(F168=11,F169,IF(E168&gt;11,0,IF(F168&lt;11,0,30)))</f>
        <v>30</v>
      </c>
      <c r="G181" s="2">
        <f t="shared" si="0"/>
        <v>30</v>
      </c>
      <c r="H181" s="2">
        <f>IF($H$168=11,$H$169,1)</f>
        <v>1</v>
      </c>
      <c r="I181" s="2">
        <f>IF(I168=11,I169,IF(H168&gt;11,0,IF(I168&lt;11,0,30)))</f>
        <v>0</v>
      </c>
      <c r="J181" s="2">
        <f t="shared" si="1"/>
        <v>0</v>
      </c>
      <c r="K181" s="2">
        <f>IF($K$168=11,$K$169,1)</f>
        <v>1</v>
      </c>
      <c r="L181" s="2">
        <f>IF(L168=11,L169,IF(K168&gt;11,0,IF(L168&lt;11,0,30)))</f>
        <v>0</v>
      </c>
      <c r="M181" s="2">
        <f t="shared" si="2"/>
        <v>0</v>
      </c>
      <c r="N181" s="2">
        <f t="shared" si="3"/>
        <v>30</v>
      </c>
    </row>
    <row r="182" spans="1:14" x14ac:dyDescent="0.25">
      <c r="A182" s="2" t="s">
        <v>43</v>
      </c>
      <c r="B182" s="2">
        <f>IF($B$168=12,$B$169,1)</f>
        <v>1</v>
      </c>
      <c r="C182" s="2">
        <f>IF(C168=12,C169,IF(B168&gt;12,0,IF(C168&lt;12,0,31)))</f>
        <v>0</v>
      </c>
      <c r="D182" s="2">
        <f t="shared" si="4"/>
        <v>0</v>
      </c>
      <c r="E182" s="2">
        <f>IF($E$168=12,$E$169,1)</f>
        <v>1</v>
      </c>
      <c r="F182" s="2">
        <f>IF(F168=12,F169,IF(E168&gt;12,0,IF(F168&lt;12,0,31)))</f>
        <v>31</v>
      </c>
      <c r="G182" s="2">
        <f t="shared" si="0"/>
        <v>31</v>
      </c>
      <c r="H182" s="2">
        <f>IF($H$168=12,$H$169,1)</f>
        <v>1</v>
      </c>
      <c r="I182" s="2">
        <f>IF(I168=12,I169,IF(H168&gt;12,0,IF(I168&lt;12,0,31)))</f>
        <v>0</v>
      </c>
      <c r="J182" s="2">
        <f t="shared" si="1"/>
        <v>0</v>
      </c>
      <c r="K182" s="2">
        <f>IF($K$168=12,$K$169,1)</f>
        <v>1</v>
      </c>
      <c r="L182" s="2">
        <f>IF(L168=12,L169,IF(K168&gt;12,0,IF(L168&lt;12,0,31)))</f>
        <v>0</v>
      </c>
      <c r="M182" s="2">
        <f t="shared" si="2"/>
        <v>0</v>
      </c>
      <c r="N182" s="2">
        <f t="shared" si="3"/>
        <v>31</v>
      </c>
    </row>
    <row r="183" spans="1:14" x14ac:dyDescent="0.25">
      <c r="D183" s="2">
        <f>SUM(D171:D182)</f>
        <v>212</v>
      </c>
      <c r="G183" s="2">
        <f>SUM(G171:G182)</f>
        <v>153</v>
      </c>
      <c r="J183" s="2">
        <f>SUM(J171:J182)</f>
        <v>0</v>
      </c>
      <c r="M183" s="2">
        <f>SUM(M171:M182)</f>
        <v>0</v>
      </c>
      <c r="N183" s="2">
        <f>SUM(N171:N182)</f>
        <v>365</v>
      </c>
    </row>
    <row r="185" spans="1:14" x14ac:dyDescent="0.25">
      <c r="B185" s="1"/>
      <c r="C185" s="1"/>
    </row>
    <row r="214" spans="1:14" x14ac:dyDescent="0.25">
      <c r="A214" s="2" t="s">
        <v>156</v>
      </c>
      <c r="B214" s="1">
        <f>Ingave!C14</f>
        <v>44927</v>
      </c>
      <c r="C214" s="1">
        <f>Ingave!E14</f>
        <v>45138</v>
      </c>
      <c r="E214" s="1">
        <f>Ingave!C15</f>
        <v>45139</v>
      </c>
      <c r="F214" s="1">
        <f>Ingave!E15</f>
        <v>45291</v>
      </c>
      <c r="H214" s="1">
        <f>Ingave!C16</f>
        <v>0</v>
      </c>
      <c r="I214" s="1">
        <f>Ingave!E16</f>
        <v>0</v>
      </c>
      <c r="K214" s="1">
        <f>Ingave!C17</f>
        <v>0</v>
      </c>
      <c r="L214" s="1">
        <f>Ingave!E17</f>
        <v>0</v>
      </c>
    </row>
    <row r="215" spans="1:14" x14ac:dyDescent="0.25">
      <c r="A215" s="2" t="s">
        <v>183</v>
      </c>
      <c r="B215" s="2">
        <f>MONTH(B214)</f>
        <v>1</v>
      </c>
      <c r="C215" s="2">
        <f>MONTH(C214)</f>
        <v>7</v>
      </c>
      <c r="E215" s="2">
        <f>MONTH(E214)</f>
        <v>8</v>
      </c>
      <c r="F215" s="2">
        <f>MONTH(F214)</f>
        <v>12</v>
      </c>
      <c r="H215" s="2">
        <f>MONTH(H214)</f>
        <v>1</v>
      </c>
      <c r="I215" s="2">
        <f>MONTH(I214)</f>
        <v>1</v>
      </c>
      <c r="K215" s="2">
        <f>MONTH(K214)</f>
        <v>1</v>
      </c>
      <c r="L215" s="2">
        <f>MONTH(L214)</f>
        <v>1</v>
      </c>
    </row>
    <row r="216" spans="1:14" x14ac:dyDescent="0.25">
      <c r="A216" s="2" t="s">
        <v>184</v>
      </c>
      <c r="B216" s="2">
        <f>DAY(B214)</f>
        <v>1</v>
      </c>
      <c r="C216" s="2">
        <f>DAY(C214)</f>
        <v>31</v>
      </c>
      <c r="E216" s="2">
        <f>DAY(E214)</f>
        <v>1</v>
      </c>
      <c r="F216" s="2">
        <f>DAY(F214)</f>
        <v>31</v>
      </c>
      <c r="H216" s="2">
        <f>DAY(H214)</f>
        <v>0</v>
      </c>
      <c r="I216" s="2">
        <f>DAY(I214)</f>
        <v>0</v>
      </c>
      <c r="K216" s="2">
        <f>DAY(K214)</f>
        <v>0</v>
      </c>
      <c r="L216" s="2">
        <f>DAY(L214)</f>
        <v>0</v>
      </c>
      <c r="N216" s="2" t="s">
        <v>133</v>
      </c>
    </row>
    <row r="217" spans="1:14" x14ac:dyDescent="0.25">
      <c r="D217" s="2" t="s">
        <v>185</v>
      </c>
      <c r="G217" s="2" t="s">
        <v>185</v>
      </c>
      <c r="J217" s="2" t="s">
        <v>185</v>
      </c>
      <c r="M217" s="2" t="s">
        <v>185</v>
      </c>
      <c r="N217" s="2" t="s">
        <v>185</v>
      </c>
    </row>
    <row r="218" spans="1:14" x14ac:dyDescent="0.25">
      <c r="A218" s="2" t="s">
        <v>32</v>
      </c>
      <c r="B218" s="2">
        <f>IF(B215=1,$B216,1)</f>
        <v>1</v>
      </c>
      <c r="C218" s="2">
        <f>IF(C215=1,C216,IF(B215&gt;1,0,31))</f>
        <v>31</v>
      </c>
      <c r="D218" s="2">
        <f>IF($B$205&lt;&gt;1,C218-B218+1,0)</f>
        <v>31</v>
      </c>
      <c r="E218" s="2">
        <f>IF($E$168=1,$E$169,1)</f>
        <v>1</v>
      </c>
      <c r="F218" s="2">
        <f>IF(F215=1,F216,IF(E215&gt;1,0,31))</f>
        <v>0</v>
      </c>
      <c r="G218" s="2">
        <f t="shared" ref="G218:G229" si="5">IF($B$206&lt;&gt;1,F218-E218+1,0)</f>
        <v>0</v>
      </c>
      <c r="H218" s="2">
        <f>IF($H$168=1,$H$169,1)</f>
        <v>0</v>
      </c>
      <c r="I218" s="2">
        <f>IF(I215=1,I216,IF(H215&gt;1,0,31))</f>
        <v>0</v>
      </c>
      <c r="J218" s="2">
        <f>IF($B$207&lt;&gt;1,I218-H218+1,0)</f>
        <v>1</v>
      </c>
      <c r="K218" s="2">
        <f>IF($K$168=1,$K$169,1)</f>
        <v>0</v>
      </c>
      <c r="L218" s="2">
        <f>IF(L215=1,L216,IF(K215&gt;1,0,31))</f>
        <v>0</v>
      </c>
      <c r="M218" s="2">
        <f>IF($B$208&lt;&gt;1,L218-K218+1,0)</f>
        <v>1</v>
      </c>
      <c r="N218" s="2">
        <f>D218+G218+J218+M218</f>
        <v>33</v>
      </c>
    </row>
    <row r="219" spans="1:14" x14ac:dyDescent="0.25">
      <c r="A219" s="2" t="s">
        <v>33</v>
      </c>
      <c r="B219" s="2">
        <f>IF($B$168=2,$B$169,1)</f>
        <v>1</v>
      </c>
      <c r="C219" s="2">
        <f>IF(C215=2,C216,IF(B215&gt;2,0,IF(C215&lt;2,0,$K$165)))</f>
        <v>28</v>
      </c>
      <c r="D219" s="2">
        <f t="shared" ref="D219:D229" si="6">IF($B$205&lt;&gt;1,C219-B219+1,0)</f>
        <v>28</v>
      </c>
      <c r="E219" s="2">
        <f>IF($E$168=2,$E$169,1)</f>
        <v>1</v>
      </c>
      <c r="F219" s="2">
        <f>IF(F215=2,F216,IF(E215&gt;2,0,IF(F215&lt;2,0,$K$165)))</f>
        <v>0</v>
      </c>
      <c r="G219" s="2">
        <f t="shared" si="5"/>
        <v>0</v>
      </c>
      <c r="H219" s="2">
        <f>IF($H$168=2,$H$169,1)</f>
        <v>1</v>
      </c>
      <c r="I219" s="2">
        <f>IF(I215=2,I216,IF(H215&gt;2,0,IF(I215&lt;2,0,$K$165)))</f>
        <v>0</v>
      </c>
      <c r="J219" s="2">
        <f t="shared" ref="J219:J229" si="7">IF($B$207&lt;&gt;1,I219-H219+1,0)</f>
        <v>0</v>
      </c>
      <c r="K219" s="2">
        <f>IF($K$168=2,$K$169,1)</f>
        <v>1</v>
      </c>
      <c r="L219" s="2">
        <f>IF(L215=2,L216,IF(K215&gt;2,0,IF(L215&lt;2,0,$K$165)))</f>
        <v>0</v>
      </c>
      <c r="M219" s="2">
        <f t="shared" ref="M219:M229" si="8">IF($B$208&lt;&gt;1,L219-K219+1,0)</f>
        <v>0</v>
      </c>
      <c r="N219" s="2">
        <f t="shared" ref="N219:N229" si="9">D219+G219+J219+M219</f>
        <v>28</v>
      </c>
    </row>
    <row r="220" spans="1:14" x14ac:dyDescent="0.25">
      <c r="A220" s="2" t="s">
        <v>34</v>
      </c>
      <c r="B220" s="2">
        <f>IF($B$168=3,$B$169,1)</f>
        <v>1</v>
      </c>
      <c r="C220" s="2">
        <f>IF(C215=3,C216,IF(B215&gt;3,0,IF(C215&lt;3,0,31)))</f>
        <v>31</v>
      </c>
      <c r="D220" s="2">
        <f t="shared" si="6"/>
        <v>31</v>
      </c>
      <c r="E220" s="2">
        <f>IF($E$168=3,$E$169,1)</f>
        <v>1</v>
      </c>
      <c r="F220" s="2">
        <f>IF(F215=3,F216,IF(E215&gt;3,0,IF(F215&lt;3,0,31)))</f>
        <v>0</v>
      </c>
      <c r="G220" s="2">
        <f>IF($B$206&lt;&gt;1,F220-E220+1,0)</f>
        <v>0</v>
      </c>
      <c r="H220" s="2">
        <f>IF($H$168=3,$H$169,1)</f>
        <v>1</v>
      </c>
      <c r="I220" s="2">
        <f>IF(I215=3,I216,IF(H215&gt;3,0,IF(I215&lt;3,0,31)))</f>
        <v>0</v>
      </c>
      <c r="J220" s="2">
        <f t="shared" si="7"/>
        <v>0</v>
      </c>
      <c r="K220" s="2">
        <f>IF($K$168=3,$K$169,1)</f>
        <v>1</v>
      </c>
      <c r="L220" s="2">
        <f>IF(L215=3,L216,IF(K215&gt;3,0,IF(L215&lt;3,0,31)))</f>
        <v>0</v>
      </c>
      <c r="M220" s="2">
        <f t="shared" si="8"/>
        <v>0</v>
      </c>
      <c r="N220" s="2">
        <f t="shared" si="9"/>
        <v>31</v>
      </c>
    </row>
    <row r="221" spans="1:14" x14ac:dyDescent="0.25">
      <c r="A221" s="2" t="s">
        <v>35</v>
      </c>
      <c r="B221" s="2">
        <f>IF($B$168=4,$B$169,1)</f>
        <v>1</v>
      </c>
      <c r="C221" s="2">
        <f>IF(C215=4,C216,IF(B215&gt;4,0,IF(C215&lt;4,0,30)))</f>
        <v>30</v>
      </c>
      <c r="D221" s="2">
        <f t="shared" si="6"/>
        <v>30</v>
      </c>
      <c r="E221" s="2">
        <f>IF($E$168=4,$E$169,1)</f>
        <v>1</v>
      </c>
      <c r="F221" s="2">
        <f>IF(F215=4,F216,IF(E215&gt;4,0,IF(F215&lt;4,0,30)))</f>
        <v>0</v>
      </c>
      <c r="G221" s="2">
        <f t="shared" si="5"/>
        <v>0</v>
      </c>
      <c r="H221" s="2">
        <f>IF($H$168=4,$H$169,1)</f>
        <v>1</v>
      </c>
      <c r="I221" s="2">
        <f>IF(I215=4,I216,IF(H215&gt;4,0,IF(I215&lt;4,0,30)))</f>
        <v>0</v>
      </c>
      <c r="J221" s="2">
        <f t="shared" si="7"/>
        <v>0</v>
      </c>
      <c r="K221" s="2">
        <f>IF($K$168=4,$K$169,1)</f>
        <v>1</v>
      </c>
      <c r="L221" s="2">
        <f>IF(L215=4,L216,IF(K215&gt;4,0,IF(L215&lt;4,0,30)))</f>
        <v>0</v>
      </c>
      <c r="M221" s="2">
        <f t="shared" si="8"/>
        <v>0</v>
      </c>
      <c r="N221" s="2">
        <f t="shared" si="9"/>
        <v>30</v>
      </c>
    </row>
    <row r="222" spans="1:14" x14ac:dyDescent="0.25">
      <c r="A222" s="2" t="s">
        <v>36</v>
      </c>
      <c r="B222" s="2">
        <f>IF($B$168=5,$B$169,1)</f>
        <v>1</v>
      </c>
      <c r="C222" s="2">
        <f>IF(C215=5,C216,IF(B215&gt;5,0,IF(C215&lt;5,0,31)))</f>
        <v>31</v>
      </c>
      <c r="D222" s="2">
        <f t="shared" si="6"/>
        <v>31</v>
      </c>
      <c r="E222" s="2">
        <f>IF($E$168=5,$E$169,1)</f>
        <v>1</v>
      </c>
      <c r="F222" s="2">
        <f>IF(F215=5,F216,IF(E215&gt;5,0,IF(F215&lt;5,0,31)))</f>
        <v>0</v>
      </c>
      <c r="G222" s="2">
        <f t="shared" si="5"/>
        <v>0</v>
      </c>
      <c r="H222" s="2">
        <f>IF($H$168=5,$H$169,1)</f>
        <v>1</v>
      </c>
      <c r="I222" s="2">
        <f>IF(I215=5,I216,IF(H215&gt;5,0,IF(I215&lt;5,0,31)))</f>
        <v>0</v>
      </c>
      <c r="J222" s="2">
        <f t="shared" si="7"/>
        <v>0</v>
      </c>
      <c r="K222" s="2">
        <f>IF($K$168=5,$K$169,1)</f>
        <v>1</v>
      </c>
      <c r="L222" s="2">
        <f>IF(L215=5,L216,IF(K215&gt;5,0,IF(L215&lt;5,0,31)))</f>
        <v>0</v>
      </c>
      <c r="M222" s="2">
        <f t="shared" si="8"/>
        <v>0</v>
      </c>
      <c r="N222" s="2">
        <f t="shared" si="9"/>
        <v>31</v>
      </c>
    </row>
    <row r="223" spans="1:14" x14ac:dyDescent="0.25">
      <c r="A223" s="2" t="s">
        <v>37</v>
      </c>
      <c r="B223" s="2">
        <f>IF($B$168=6,$B$169,1)</f>
        <v>1</v>
      </c>
      <c r="C223" s="2">
        <f>IF(C215=6,C216,IF(B215&gt;6,0,IF(C215&lt;6,0,30)))</f>
        <v>30</v>
      </c>
      <c r="D223" s="2">
        <f t="shared" si="6"/>
        <v>30</v>
      </c>
      <c r="E223" s="2">
        <f>IF($E$168=6,$E$169,1)</f>
        <v>1</v>
      </c>
      <c r="F223" s="2">
        <f>IF(F215=6,F216,IF(E215&gt;6,0,IF(F215&lt;6,0,30)))</f>
        <v>0</v>
      </c>
      <c r="G223" s="2">
        <f t="shared" si="5"/>
        <v>0</v>
      </c>
      <c r="H223" s="2">
        <f>IF($H$168=6,$H$169,1)</f>
        <v>1</v>
      </c>
      <c r="I223" s="2">
        <f>IF(I215=6,I216,IF(H215&gt;6,0,IF(I215&lt;6,0,30)))</f>
        <v>0</v>
      </c>
      <c r="J223" s="2">
        <f t="shared" si="7"/>
        <v>0</v>
      </c>
      <c r="K223" s="2">
        <f>IF($K$168=6,$K$169,1)</f>
        <v>1</v>
      </c>
      <c r="L223" s="2">
        <f>IF(L215=6,L216,IF(K215&gt;6,0,IF(L215&lt;6,0,30)))</f>
        <v>0</v>
      </c>
      <c r="M223" s="2">
        <f t="shared" si="8"/>
        <v>0</v>
      </c>
      <c r="N223" s="2">
        <f t="shared" si="9"/>
        <v>30</v>
      </c>
    </row>
    <row r="224" spans="1:14" x14ac:dyDescent="0.25">
      <c r="A224" s="2" t="s">
        <v>38</v>
      </c>
      <c r="B224" s="2">
        <f>IF($B$168=7,$B$169,1)</f>
        <v>1</v>
      </c>
      <c r="C224" s="2">
        <f>IF(C215=7,C216,IF(B215&gt;7,0,IF(C215&lt;7,0,31)))</f>
        <v>31</v>
      </c>
      <c r="D224" s="2">
        <f t="shared" si="6"/>
        <v>31</v>
      </c>
      <c r="E224" s="2">
        <f>IF($E$168=7,$E$169,1)</f>
        <v>1</v>
      </c>
      <c r="F224" s="2">
        <f>IF(F215=7,F216,IF(E215&gt;7,0,IF(F215&lt;7,0,31)))</f>
        <v>0</v>
      </c>
      <c r="G224" s="2">
        <f t="shared" si="5"/>
        <v>0</v>
      </c>
      <c r="H224" s="2">
        <f>IF($H$168=7,$H$169,1)</f>
        <v>1</v>
      </c>
      <c r="I224" s="2">
        <f>IF(I215=7,I216,IF(H215&gt;7,0,IF(I215&lt;7,0,31)))</f>
        <v>0</v>
      </c>
      <c r="J224" s="2">
        <f t="shared" si="7"/>
        <v>0</v>
      </c>
      <c r="K224" s="2">
        <f>IF($K$168=7,$K$169,1)</f>
        <v>1</v>
      </c>
      <c r="L224" s="2">
        <f>IF(L215=7,L216,IF(K215&gt;7,0,IF(L215&lt;7,0,31)))</f>
        <v>0</v>
      </c>
      <c r="M224" s="2">
        <f t="shared" si="8"/>
        <v>0</v>
      </c>
      <c r="N224" s="2">
        <f t="shared" si="9"/>
        <v>31</v>
      </c>
    </row>
    <row r="225" spans="1:14" x14ac:dyDescent="0.25">
      <c r="A225" s="2" t="s">
        <v>39</v>
      </c>
      <c r="B225" s="2">
        <f>IF($B$168=8,$B$169,1)</f>
        <v>1</v>
      </c>
      <c r="C225" s="2">
        <f>IF(C215=8,C216,IF(B215&gt;8,0,IF(C215&lt;8,0,31)))</f>
        <v>0</v>
      </c>
      <c r="D225" s="2">
        <f t="shared" si="6"/>
        <v>0</v>
      </c>
      <c r="E225" s="2">
        <f>IF($E$168=8,$E$169,1)</f>
        <v>1</v>
      </c>
      <c r="F225" s="2">
        <f>IF(F215=8,F216,IF(E215&gt;8,0,IF(F215&lt;8,0,31)))</f>
        <v>31</v>
      </c>
      <c r="G225" s="2">
        <f t="shared" si="5"/>
        <v>31</v>
      </c>
      <c r="H225" s="2">
        <f>IF($H$168=8,$H$169,1)</f>
        <v>1</v>
      </c>
      <c r="I225" s="2">
        <f>IF(I215=8,I216,IF(H215&gt;8,0,IF(I215&lt;8,0,31)))</f>
        <v>0</v>
      </c>
      <c r="J225" s="2">
        <f t="shared" si="7"/>
        <v>0</v>
      </c>
      <c r="K225" s="2">
        <f>IF($K$168=8,$K$169,1)</f>
        <v>1</v>
      </c>
      <c r="L225" s="2">
        <f>IF(L215=8,L216,IF(K215&gt;8,0,IF(L215&lt;8,0,31)))</f>
        <v>0</v>
      </c>
      <c r="M225" s="2">
        <f t="shared" si="8"/>
        <v>0</v>
      </c>
      <c r="N225" s="2">
        <f t="shared" si="9"/>
        <v>31</v>
      </c>
    </row>
    <row r="226" spans="1:14" x14ac:dyDescent="0.25">
      <c r="A226" s="2" t="s">
        <v>40</v>
      </c>
      <c r="B226" s="2">
        <f>IF($B$168=9,$B$169,1)</f>
        <v>1</v>
      </c>
      <c r="C226" s="2">
        <f>IF(C215=9,C216,IF(B215&gt;9,0,IF(C215&lt;9,0,30)))</f>
        <v>0</v>
      </c>
      <c r="D226" s="2">
        <f t="shared" si="6"/>
        <v>0</v>
      </c>
      <c r="E226" s="2">
        <f>IF($E$168=9,$E$169,1)</f>
        <v>1</v>
      </c>
      <c r="F226" s="2">
        <f>IF(F215=9,F216,IF(E215&gt;9,0,IF(F215&lt;9,0,30)))</f>
        <v>30</v>
      </c>
      <c r="G226" s="2">
        <f t="shared" si="5"/>
        <v>30</v>
      </c>
      <c r="H226" s="2">
        <f>IF($H$168=9,$H$169,1)</f>
        <v>1</v>
      </c>
      <c r="I226" s="2">
        <f>IF(I215=9,I216,IF(H215&gt;9,0,IF(I215&lt;9,0,30)))</f>
        <v>0</v>
      </c>
      <c r="J226" s="2">
        <f t="shared" si="7"/>
        <v>0</v>
      </c>
      <c r="K226" s="2">
        <f>IF($K$168=9,$K$169,1)</f>
        <v>1</v>
      </c>
      <c r="L226" s="2">
        <f>IF(L215=9,L216,IF(K215&gt;9,0,IF(L215&lt;9,0,30)))</f>
        <v>0</v>
      </c>
      <c r="M226" s="2">
        <f t="shared" si="8"/>
        <v>0</v>
      </c>
      <c r="N226" s="2">
        <f t="shared" si="9"/>
        <v>30</v>
      </c>
    </row>
    <row r="227" spans="1:14" x14ac:dyDescent="0.25">
      <c r="A227" s="2" t="s">
        <v>41</v>
      </c>
      <c r="B227" s="2">
        <f>IF($B$168=10,$B$169,1)</f>
        <v>1</v>
      </c>
      <c r="C227" s="2">
        <f>IF(C215=10,C216,IF(B215&gt;10,0,IF(C215&lt;10,0,31)))</f>
        <v>0</v>
      </c>
      <c r="D227" s="2">
        <f t="shared" si="6"/>
        <v>0</v>
      </c>
      <c r="E227" s="2">
        <f>IF($E$168=10,$E$169,1)</f>
        <v>1</v>
      </c>
      <c r="F227" s="2">
        <f>IF(F215=10,F216,IF(E215&gt;10,0,IF(F215&lt;10,0,31)))</f>
        <v>31</v>
      </c>
      <c r="G227" s="2">
        <f>IF($B$206&lt;&gt;1,F227-E227+1,0)</f>
        <v>31</v>
      </c>
      <c r="H227" s="2">
        <f>IF($H$168=10,$H$169,1)</f>
        <v>1</v>
      </c>
      <c r="I227" s="2">
        <f>IF(I215=10,I216,IF(H215&gt;10,0,IF(I215&lt;10,0,31)))</f>
        <v>0</v>
      </c>
      <c r="J227" s="2">
        <f t="shared" si="7"/>
        <v>0</v>
      </c>
      <c r="K227" s="2">
        <f>IF($K$168=10,$K$169,1)</f>
        <v>1</v>
      </c>
      <c r="L227" s="2">
        <f>IF(L215=10,L216,IF(K215&gt;10,0,IF(L215&lt;10,0,31)))</f>
        <v>0</v>
      </c>
      <c r="M227" s="2">
        <f t="shared" si="8"/>
        <v>0</v>
      </c>
      <c r="N227" s="2">
        <f t="shared" si="9"/>
        <v>31</v>
      </c>
    </row>
    <row r="228" spans="1:14" x14ac:dyDescent="0.25">
      <c r="A228" s="2" t="s">
        <v>42</v>
      </c>
      <c r="B228" s="2">
        <f>IF($B$168=11,$B$169,1)</f>
        <v>1</v>
      </c>
      <c r="C228" s="2">
        <f>IF(C215=11,C216,IF(B215&gt;11,0,IF(C215&lt;11,0,30)))</f>
        <v>0</v>
      </c>
      <c r="D228" s="2">
        <f t="shared" si="6"/>
        <v>0</v>
      </c>
      <c r="E228" s="2">
        <f>IF($E$168=11,$E$169,1)</f>
        <v>1</v>
      </c>
      <c r="F228" s="2">
        <f>IF(F215=11,F216,IF(E215&gt;11,0,IF(F215&lt;11,0,30)))</f>
        <v>30</v>
      </c>
      <c r="G228" s="2">
        <f t="shared" si="5"/>
        <v>30</v>
      </c>
      <c r="H228" s="2">
        <f>IF($H$168=11,$H$169,1)</f>
        <v>1</v>
      </c>
      <c r="I228" s="2">
        <f>IF(I215=11,I216,IF(H215&gt;11,0,IF(I215&lt;11,0,30)))</f>
        <v>0</v>
      </c>
      <c r="J228" s="2">
        <f t="shared" si="7"/>
        <v>0</v>
      </c>
      <c r="K228" s="2">
        <f>IF($K$168=11,$K$169,1)</f>
        <v>1</v>
      </c>
      <c r="L228" s="2">
        <f>IF(L215=11,L216,IF(K215&gt;11,0,IF(L215&lt;11,0,30)))</f>
        <v>0</v>
      </c>
      <c r="M228" s="2">
        <f t="shared" si="8"/>
        <v>0</v>
      </c>
      <c r="N228" s="2">
        <f t="shared" si="9"/>
        <v>30</v>
      </c>
    </row>
    <row r="229" spans="1:14" x14ac:dyDescent="0.25">
      <c r="A229" s="2" t="s">
        <v>43</v>
      </c>
      <c r="B229" s="2">
        <f>IF($B$168=12,$B$169,1)</f>
        <v>1</v>
      </c>
      <c r="C229" s="2">
        <f>IF(C215=12,C216,IF(B215&gt;12,0,IF(C215&lt;12,0,31)))</f>
        <v>0</v>
      </c>
      <c r="D229" s="2">
        <f t="shared" si="6"/>
        <v>0</v>
      </c>
      <c r="E229" s="2">
        <f>IF($E$168=12,$E$169,1)</f>
        <v>1</v>
      </c>
      <c r="F229" s="2">
        <f>IF(F215=12,F216,IF(E215&gt;12,0,IF(F215&lt;12,0,31)))</f>
        <v>31</v>
      </c>
      <c r="G229" s="2">
        <f t="shared" si="5"/>
        <v>31</v>
      </c>
      <c r="H229" s="2">
        <f>IF($H$168=12,$H$169,1)</f>
        <v>1</v>
      </c>
      <c r="I229" s="2">
        <f>IF(I215=12,I216,IF(H215&gt;12,0,IF(I215&lt;12,0,31)))</f>
        <v>0</v>
      </c>
      <c r="J229" s="2">
        <f t="shared" si="7"/>
        <v>0</v>
      </c>
      <c r="K229" s="2">
        <f>IF($K$168=12,$K$169,1)</f>
        <v>1</v>
      </c>
      <c r="L229" s="2">
        <f>IF(L215=12,L216,IF(K215&gt;12,0,IF(L215&lt;12,0,31)))</f>
        <v>0</v>
      </c>
      <c r="M229" s="2">
        <f t="shared" si="8"/>
        <v>0</v>
      </c>
      <c r="N229" s="2">
        <f t="shared" si="9"/>
        <v>31</v>
      </c>
    </row>
    <row r="230" spans="1:14" x14ac:dyDescent="0.25">
      <c r="D230" s="2">
        <f>SUM(D218:D229)</f>
        <v>212</v>
      </c>
      <c r="G230" s="2">
        <f>SUM(G218:G229)</f>
        <v>153</v>
      </c>
      <c r="J230" s="2">
        <f>SUM(J218:J229)</f>
        <v>1</v>
      </c>
      <c r="M230" s="2">
        <f>SUM(M218:M229)</f>
        <v>1</v>
      </c>
      <c r="N230" s="2">
        <f>SUM(N218:N229)</f>
        <v>367</v>
      </c>
    </row>
    <row r="233" spans="1:14" x14ac:dyDescent="0.25">
      <c r="A233" s="2" t="s">
        <v>238</v>
      </c>
      <c r="B233" s="2" t="s">
        <v>18</v>
      </c>
    </row>
    <row r="234" spans="1:14" x14ac:dyDescent="0.25">
      <c r="C234" s="7"/>
      <c r="D234" s="5"/>
    </row>
    <row r="235" spans="1:14" x14ac:dyDescent="0.25">
      <c r="A235" s="2" t="s">
        <v>242</v>
      </c>
      <c r="B235" s="2">
        <f>Gegevens!A2</f>
        <v>2023</v>
      </c>
      <c r="C235" s="7"/>
      <c r="D235" s="5"/>
    </row>
    <row r="237" spans="1:14" x14ac:dyDescent="0.25">
      <c r="A237" s="2" t="s">
        <v>239</v>
      </c>
      <c r="B237" s="3">
        <f>YEAR(A3)</f>
        <v>2012</v>
      </c>
      <c r="F237" s="2" t="str">
        <f>Gegevens!A49</f>
        <v>Algemene Heffingskorting MVP</v>
      </c>
    </row>
    <row r="238" spans="1:14" x14ac:dyDescent="0.25">
      <c r="A238" s="2" t="s">
        <v>240</v>
      </c>
      <c r="B238" s="3">
        <f>YEAR(A2)</f>
        <v>1960</v>
      </c>
      <c r="C238" s="3">
        <f>B238</f>
        <v>1960</v>
      </c>
      <c r="D238" s="3"/>
      <c r="F238" s="2" t="str">
        <f>Gegevens!A50</f>
        <v>Afbouwregeling</v>
      </c>
      <c r="H238" s="4"/>
    </row>
    <row r="239" spans="1:14" x14ac:dyDescent="0.25">
      <c r="A239" s="2" t="s">
        <v>18</v>
      </c>
      <c r="B239" s="2">
        <f>IF(B238&lt;B236,0,1)</f>
        <v>1</v>
      </c>
      <c r="C239" s="2" t="s">
        <v>241</v>
      </c>
      <c r="F239" s="2" t="str">
        <f>Gegevens!A51</f>
        <v>Geb voor 1-1-63</v>
      </c>
      <c r="H239" s="4">
        <f>Gegevens!C51</f>
        <v>3070</v>
      </c>
      <c r="I239" s="2">
        <f>Gegevens!D51</f>
        <v>1963</v>
      </c>
    </row>
    <row r="240" spans="1:14" x14ac:dyDescent="0.25">
      <c r="A240" s="2" t="s">
        <v>50</v>
      </c>
      <c r="B240" s="3">
        <f>F15</f>
        <v>10</v>
      </c>
      <c r="F240" s="2" t="str">
        <f>Gegevens!A52</f>
        <v>Geb. na</v>
      </c>
      <c r="G240" s="1">
        <v>23012</v>
      </c>
      <c r="H240" s="4">
        <f>Gegevens!C52</f>
        <v>0</v>
      </c>
      <c r="I240" s="2">
        <f>Gegevens!D52</f>
        <v>0</v>
      </c>
    </row>
    <row r="241" spans="1:10" x14ac:dyDescent="0.25">
      <c r="B241" s="2">
        <f>IF(B240&lt;I241,1,0)</f>
        <v>0</v>
      </c>
      <c r="D241" s="5"/>
      <c r="F241" s="2" t="str">
        <f>Gegevens!A53</f>
        <v>Tussen 1-1-63 en 1-1-72</v>
      </c>
      <c r="H241" s="4">
        <f>Gegevens!C53</f>
        <v>0</v>
      </c>
      <c r="I241" s="2">
        <f>Gegevens!E33</f>
        <v>0</v>
      </c>
      <c r="J241" s="2" t="s">
        <v>243</v>
      </c>
    </row>
    <row r="243" spans="1:10" x14ac:dyDescent="0.25">
      <c r="A243" s="2" t="s">
        <v>259</v>
      </c>
      <c r="B243" s="2">
        <f>IF(B238&lt;I239,H239,0)</f>
        <v>3070</v>
      </c>
    </row>
    <row r="244" spans="1:10" x14ac:dyDescent="0.25">
      <c r="B244" s="2">
        <f>IF(B238&gt;=I240,H240,0)</f>
        <v>0</v>
      </c>
      <c r="D244" s="2" t="b">
        <f>IF(B238&gt;=I239,1)</f>
        <v>0</v>
      </c>
    </row>
    <row r="245" spans="1:10" x14ac:dyDescent="0.25">
      <c r="B245" s="2">
        <f>IF(D246=2,H241,0)</f>
        <v>0</v>
      </c>
      <c r="D245" s="2" t="b">
        <f>IF(B238&lt;I240,1)</f>
        <v>0</v>
      </c>
    </row>
    <row r="246" spans="1:10" x14ac:dyDescent="0.25">
      <c r="B246" s="2">
        <f>SUM(B243:B245)</f>
        <v>3070</v>
      </c>
      <c r="D246" s="2">
        <f>SUM(D244:D245)</f>
        <v>0</v>
      </c>
    </row>
    <row r="247" spans="1:10" x14ac:dyDescent="0.25">
      <c r="B247" s="2" t="b">
        <f>IF(B241=1,H241)</f>
        <v>0</v>
      </c>
    </row>
    <row r="248" spans="1:10" x14ac:dyDescent="0.25">
      <c r="B248" s="2">
        <f>LARGE(B243:B247,1)</f>
        <v>3070</v>
      </c>
    </row>
    <row r="249" spans="1:10" x14ac:dyDescent="0.25">
      <c r="B249" s="2">
        <f>IF(B238=1900,0,B248)</f>
        <v>3070</v>
      </c>
    </row>
    <row r="251" spans="1:10" x14ac:dyDescent="0.25">
      <c r="A251" s="2" t="s">
        <v>268</v>
      </c>
      <c r="B251" s="2" t="s">
        <v>17</v>
      </c>
    </row>
    <row r="253" spans="1:10" x14ac:dyDescent="0.25">
      <c r="A253" s="2" t="str">
        <f>A235</f>
        <v>Kalenderjaar</v>
      </c>
      <c r="B253" s="2">
        <f>B235</f>
        <v>2023</v>
      </c>
    </row>
    <row r="255" spans="1:10" x14ac:dyDescent="0.25">
      <c r="A255" s="2" t="str">
        <f>A237</f>
        <v>Geb jaar kind</v>
      </c>
      <c r="B255" s="3">
        <f>B237</f>
        <v>2012</v>
      </c>
      <c r="F255" s="2" t="str">
        <f>F237</f>
        <v>Algemene Heffingskorting MVP</v>
      </c>
    </row>
    <row r="256" spans="1:10" x14ac:dyDescent="0.25">
      <c r="A256" s="2" t="str">
        <f>A238</f>
        <v>Geb jaar partner</v>
      </c>
      <c r="B256" s="2">
        <f>YEAR(A1)</f>
        <v>1973</v>
      </c>
      <c r="C256" s="2">
        <f>B256</f>
        <v>1973</v>
      </c>
      <c r="F256" s="2" t="str">
        <f>F238</f>
        <v>Afbouwregeling</v>
      </c>
      <c r="H256" s="4"/>
    </row>
    <row r="257" spans="1:10" x14ac:dyDescent="0.25">
      <c r="A257" s="2" t="str">
        <f>A239</f>
        <v>Partner</v>
      </c>
      <c r="B257" s="2">
        <f>IF(B238=1900,0,1)</f>
        <v>1</v>
      </c>
      <c r="C257" s="2" t="s">
        <v>269</v>
      </c>
      <c r="F257" s="2" t="str">
        <f>F239</f>
        <v>Geb voor 1-1-63</v>
      </c>
      <c r="H257" s="4">
        <f t="shared" ref="H257:I259" si="10">H239</f>
        <v>3070</v>
      </c>
      <c r="I257" s="2">
        <f t="shared" si="10"/>
        <v>1963</v>
      </c>
    </row>
    <row r="258" spans="1:10" x14ac:dyDescent="0.25">
      <c r="A258" s="2" t="s">
        <v>50</v>
      </c>
      <c r="B258" s="2">
        <f>F15</f>
        <v>10</v>
      </c>
      <c r="F258" s="2" t="str">
        <f>F240</f>
        <v>Geb. na</v>
      </c>
      <c r="G258" s="1">
        <f>G240</f>
        <v>23012</v>
      </c>
      <c r="H258" s="4">
        <f t="shared" si="10"/>
        <v>0</v>
      </c>
      <c r="I258" s="2">
        <f t="shared" si="10"/>
        <v>0</v>
      </c>
    </row>
    <row r="259" spans="1:10" x14ac:dyDescent="0.25">
      <c r="F259" s="2" t="str">
        <f>F241</f>
        <v>Tussen 1-1-63 en 1-1-72</v>
      </c>
      <c r="H259" s="4">
        <f t="shared" si="10"/>
        <v>0</v>
      </c>
      <c r="I259" s="2">
        <f t="shared" si="10"/>
        <v>0</v>
      </c>
      <c r="J259" s="2" t="s">
        <v>243</v>
      </c>
    </row>
    <row r="261" spans="1:10" x14ac:dyDescent="0.25">
      <c r="B261" s="2">
        <f>IF(B256&lt;I257,H257,0)</f>
        <v>0</v>
      </c>
    </row>
    <row r="262" spans="1:10" x14ac:dyDescent="0.25">
      <c r="B262" s="2">
        <f>IF(B256&gt;=I258,H258,0)</f>
        <v>0</v>
      </c>
      <c r="D262" s="2">
        <f>IF(B256&gt;=I257,1)</f>
        <v>1</v>
      </c>
    </row>
    <row r="263" spans="1:10" x14ac:dyDescent="0.25">
      <c r="B263" s="2">
        <f>IF(D264=2,H259,0)</f>
        <v>0</v>
      </c>
      <c r="D263" s="2" t="b">
        <f>IF(B256&lt;I258,1)</f>
        <v>0</v>
      </c>
    </row>
    <row r="264" spans="1:10" x14ac:dyDescent="0.25">
      <c r="B264" s="2">
        <f>SUM(B261:B263)</f>
        <v>0</v>
      </c>
      <c r="D264" s="2">
        <f>SUM(D262:D263)</f>
        <v>1</v>
      </c>
    </row>
    <row r="265" spans="1:10" x14ac:dyDescent="0.25">
      <c r="B265" s="2" t="b">
        <f>IF(B259=1,H259)</f>
        <v>0</v>
      </c>
    </row>
    <row r="266" spans="1:10" x14ac:dyDescent="0.25">
      <c r="B266" s="2">
        <f>LARGE(B261:B265,1)</f>
        <v>0</v>
      </c>
    </row>
    <row r="267" spans="1:10" x14ac:dyDescent="0.25">
      <c r="B267" s="2">
        <f>IF(B256=1900,0,B266)</f>
        <v>0</v>
      </c>
    </row>
    <row r="269" spans="1:10" x14ac:dyDescent="0.25">
      <c r="A269" s="2" t="s">
        <v>270</v>
      </c>
    </row>
    <row r="270" spans="1:10" x14ac:dyDescent="0.25">
      <c r="A270" s="13" t="s">
        <v>115</v>
      </c>
      <c r="B270" s="13"/>
      <c r="C270" s="13"/>
      <c r="D270" s="13"/>
      <c r="E270" s="13"/>
      <c r="F270" s="13"/>
    </row>
    <row r="271" spans="1:10" x14ac:dyDescent="0.25">
      <c r="A271" s="13" t="s">
        <v>116</v>
      </c>
      <c r="B271" s="13"/>
      <c r="C271" s="13"/>
      <c r="D271" s="13"/>
      <c r="E271" s="13">
        <f>'VT partner'!E20</f>
        <v>2955</v>
      </c>
      <c r="F271" s="13"/>
    </row>
    <row r="272" spans="1:10" x14ac:dyDescent="0.25">
      <c r="A272" s="13" t="s">
        <v>117</v>
      </c>
      <c r="B272" s="13"/>
      <c r="C272" s="13"/>
      <c r="D272" s="13"/>
      <c r="E272" s="14"/>
      <c r="F272" s="13"/>
    </row>
    <row r="273" spans="1:6" x14ac:dyDescent="0.25">
      <c r="A273" s="13"/>
      <c r="B273" s="13"/>
      <c r="C273" s="13"/>
      <c r="D273" s="13"/>
      <c r="E273" s="13">
        <f>SUM(E271:E272)</f>
        <v>2955</v>
      </c>
      <c r="F273" s="13"/>
    </row>
    <row r="274" spans="1:6" x14ac:dyDescent="0.25">
      <c r="A274" s="13" t="s">
        <v>118</v>
      </c>
      <c r="B274" s="13"/>
      <c r="C274" s="13"/>
      <c r="D274" s="13"/>
      <c r="E274" s="14">
        <f>E284</f>
        <v>3070</v>
      </c>
      <c r="F274" s="13"/>
    </row>
    <row r="275" spans="1:6" x14ac:dyDescent="0.25">
      <c r="A275" s="13"/>
      <c r="B275" s="13"/>
      <c r="C275" s="13"/>
      <c r="D275" s="13"/>
      <c r="E275" s="13">
        <f>IF((E274-E273)&lt;0,0,E274-E273)</f>
        <v>115</v>
      </c>
      <c r="F275" s="13" t="str">
        <f>F284</f>
        <v>(incl. afbouw)</v>
      </c>
    </row>
    <row r="276" spans="1:6" x14ac:dyDescent="0.25">
      <c r="A276" s="13"/>
      <c r="B276" s="13"/>
      <c r="C276" s="13"/>
      <c r="D276" s="13"/>
      <c r="E276" s="13"/>
      <c r="F276" s="13"/>
    </row>
    <row r="277" spans="1:6" x14ac:dyDescent="0.25">
      <c r="A277" s="13" t="s">
        <v>119</v>
      </c>
      <c r="B277" s="13"/>
      <c r="C277" s="13"/>
      <c r="D277" s="13"/>
      <c r="E277" s="13">
        <f>'VT cliënt'!E25</f>
        <v>1439</v>
      </c>
      <c r="F277" s="13"/>
    </row>
    <row r="278" spans="1:6" x14ac:dyDescent="0.25">
      <c r="A278" s="13" t="s">
        <v>120</v>
      </c>
      <c r="B278" s="13"/>
      <c r="C278" s="13"/>
      <c r="D278" s="13"/>
      <c r="E278" s="14"/>
      <c r="F278" s="13"/>
    </row>
    <row r="279" spans="1:6" x14ac:dyDescent="0.25">
      <c r="A279" s="13" t="s">
        <v>121</v>
      </c>
      <c r="B279" s="13"/>
      <c r="C279" s="13"/>
      <c r="D279" s="13"/>
      <c r="E279" s="13">
        <f>E277-E278</f>
        <v>1439</v>
      </c>
      <c r="F279" s="13"/>
    </row>
    <row r="280" spans="1:6" x14ac:dyDescent="0.25">
      <c r="A280" s="13" t="s">
        <v>122</v>
      </c>
      <c r="B280" s="13"/>
      <c r="C280" s="13"/>
      <c r="D280" s="13"/>
      <c r="E280" s="13">
        <f>E279</f>
        <v>1439</v>
      </c>
      <c r="F280" s="13"/>
    </row>
    <row r="281" spans="1:6" x14ac:dyDescent="0.25">
      <c r="A281" s="13"/>
      <c r="B281" s="13"/>
      <c r="C281" s="13"/>
      <c r="D281" s="13"/>
      <c r="E281" s="13"/>
      <c r="F281" s="13"/>
    </row>
    <row r="282" spans="1:6" x14ac:dyDescent="0.25">
      <c r="A282" s="13" t="s">
        <v>123</v>
      </c>
      <c r="B282" s="13"/>
      <c r="C282" s="13"/>
      <c r="D282" s="13"/>
      <c r="E282" s="13">
        <f>IF(E275&lt;E280,E275,E280)</f>
        <v>115</v>
      </c>
      <c r="F282" s="13"/>
    </row>
    <row r="283" spans="1:6" x14ac:dyDescent="0.25">
      <c r="A283" s="13"/>
      <c r="B283" s="13"/>
      <c r="C283" s="13"/>
      <c r="D283" s="13"/>
      <c r="E283" s="13"/>
      <c r="F283" s="13"/>
    </row>
    <row r="284" spans="1:6" x14ac:dyDescent="0.25">
      <c r="A284" s="13" t="str">
        <f>A274</f>
        <v>Algemene Heffingskorting</v>
      </c>
      <c r="B284" s="13"/>
      <c r="C284" s="13"/>
      <c r="D284" s="13"/>
      <c r="E284" s="13">
        <f>Berekeningen!B249</f>
        <v>3070</v>
      </c>
      <c r="F284" s="13" t="s">
        <v>260</v>
      </c>
    </row>
    <row r="285" spans="1:6" x14ac:dyDescent="0.25">
      <c r="A285" s="141"/>
      <c r="B285" s="141"/>
      <c r="C285" s="15"/>
      <c r="D285" s="15"/>
      <c r="E285" s="13"/>
      <c r="F285" s="13"/>
    </row>
    <row r="286" spans="1:6" x14ac:dyDescent="0.25">
      <c r="A286" s="13"/>
      <c r="B286" s="13"/>
      <c r="C286" s="13"/>
      <c r="D286" s="13"/>
      <c r="E286" s="13"/>
      <c r="F286" s="13"/>
    </row>
    <row r="287" spans="1:6" x14ac:dyDescent="0.25">
      <c r="A287" s="13"/>
      <c r="B287" s="13"/>
      <c r="C287" s="13"/>
      <c r="D287" s="13"/>
      <c r="E287" s="13"/>
      <c r="F287" s="13"/>
    </row>
    <row r="288" spans="1:6" x14ac:dyDescent="0.25">
      <c r="A288" s="13" t="s">
        <v>125</v>
      </c>
      <c r="B288" s="13"/>
      <c r="C288" s="13"/>
      <c r="D288" s="13"/>
      <c r="E288" s="13">
        <f>IF(E282&lt;E284,E282,E284)</f>
        <v>115</v>
      </c>
      <c r="F288" s="13"/>
    </row>
    <row r="289" spans="1:6" x14ac:dyDescent="0.25">
      <c r="A289" s="13"/>
      <c r="B289" s="13"/>
      <c r="C289" s="13"/>
      <c r="D289" s="13"/>
      <c r="E289" s="13"/>
      <c r="F289" s="13"/>
    </row>
    <row r="292" spans="1:6" x14ac:dyDescent="0.25">
      <c r="A292" s="2" t="s">
        <v>271</v>
      </c>
    </row>
    <row r="293" spans="1:6" x14ac:dyDescent="0.25">
      <c r="A293" s="13" t="s">
        <v>115</v>
      </c>
      <c r="B293" s="13"/>
      <c r="C293" s="13"/>
      <c r="D293" s="13"/>
      <c r="E293" s="13"/>
      <c r="F293" s="13"/>
    </row>
    <row r="294" spans="1:6" x14ac:dyDescent="0.25">
      <c r="A294" s="13" t="s">
        <v>116</v>
      </c>
      <c r="B294" s="13"/>
      <c r="C294" s="13"/>
      <c r="D294" s="13"/>
      <c r="E294" s="13">
        <f>'VT cliënt'!E21</f>
        <v>5333</v>
      </c>
      <c r="F294" s="13"/>
    </row>
    <row r="295" spans="1:6" x14ac:dyDescent="0.25">
      <c r="A295" s="13" t="s">
        <v>117</v>
      </c>
      <c r="B295" s="13"/>
      <c r="C295" s="13"/>
      <c r="D295" s="13"/>
      <c r="E295" s="13"/>
      <c r="F295" s="13"/>
    </row>
    <row r="296" spans="1:6" x14ac:dyDescent="0.25">
      <c r="A296" s="13"/>
      <c r="B296" s="13"/>
      <c r="C296" s="13"/>
      <c r="D296" s="13"/>
      <c r="E296" s="13">
        <f>SUM(E294:E295)</f>
        <v>5333</v>
      </c>
      <c r="F296" s="13"/>
    </row>
    <row r="297" spans="1:6" x14ac:dyDescent="0.25">
      <c r="A297" s="13" t="s">
        <v>118</v>
      </c>
      <c r="B297" s="13"/>
      <c r="C297" s="13"/>
      <c r="D297" s="13"/>
      <c r="E297" s="13">
        <f>E307</f>
        <v>0</v>
      </c>
      <c r="F297" s="13" t="str">
        <f>F307</f>
        <v>(incl. afbouw)</v>
      </c>
    </row>
    <row r="298" spans="1:6" x14ac:dyDescent="0.25">
      <c r="A298" s="13"/>
      <c r="B298" s="13"/>
      <c r="C298" s="13"/>
      <c r="D298" s="13"/>
      <c r="E298" s="13">
        <f>IF((E297-E296)&lt;0,0,E297-E296)</f>
        <v>0</v>
      </c>
      <c r="F298" s="13"/>
    </row>
    <row r="299" spans="1:6" x14ac:dyDescent="0.25">
      <c r="A299" s="13"/>
      <c r="B299" s="13"/>
      <c r="C299" s="13"/>
      <c r="D299" s="13"/>
      <c r="E299" s="13"/>
      <c r="F299" s="13"/>
    </row>
    <row r="300" spans="1:6" x14ac:dyDescent="0.25">
      <c r="A300" s="13" t="s">
        <v>272</v>
      </c>
      <c r="B300" s="13"/>
      <c r="C300" s="13"/>
      <c r="D300" s="13"/>
      <c r="E300" s="13">
        <f>'VT partner'!E27</f>
        <v>0</v>
      </c>
      <c r="F300" s="13"/>
    </row>
    <row r="301" spans="1:6" x14ac:dyDescent="0.25">
      <c r="A301" s="13" t="s">
        <v>273</v>
      </c>
      <c r="B301" s="13"/>
      <c r="C301" s="13"/>
      <c r="D301" s="13"/>
      <c r="E301" s="13"/>
      <c r="F301" s="13"/>
    </row>
    <row r="302" spans="1:6" x14ac:dyDescent="0.25">
      <c r="A302" s="13" t="s">
        <v>274</v>
      </c>
      <c r="B302" s="13"/>
      <c r="C302" s="13"/>
      <c r="D302" s="13"/>
      <c r="E302" s="13">
        <f>'VT partner'!E27</f>
        <v>0</v>
      </c>
      <c r="F302" s="13"/>
    </row>
    <row r="303" spans="1:6" x14ac:dyDescent="0.25">
      <c r="A303" s="13" t="s">
        <v>122</v>
      </c>
      <c r="B303" s="13"/>
      <c r="C303" s="13"/>
      <c r="D303" s="13"/>
      <c r="E303" s="13">
        <f>E302</f>
        <v>0</v>
      </c>
      <c r="F303" s="13"/>
    </row>
    <row r="304" spans="1:6" x14ac:dyDescent="0.25">
      <c r="A304" s="13"/>
      <c r="B304" s="13"/>
      <c r="C304" s="13"/>
      <c r="D304" s="13"/>
      <c r="E304" s="13"/>
      <c r="F304" s="13"/>
    </row>
    <row r="305" spans="1:6" x14ac:dyDescent="0.25">
      <c r="A305" s="13" t="s">
        <v>123</v>
      </c>
      <c r="B305" s="13"/>
      <c r="C305" s="13"/>
      <c r="D305" s="13"/>
      <c r="E305" s="13">
        <f>IF(E298&lt;E303,E298,E303)</f>
        <v>0</v>
      </c>
      <c r="F305" s="13"/>
    </row>
    <row r="306" spans="1:6" x14ac:dyDescent="0.25">
      <c r="A306" s="13"/>
      <c r="B306" s="13"/>
      <c r="C306" s="13"/>
      <c r="D306" s="13"/>
      <c r="E306" s="13"/>
      <c r="F306" s="13"/>
    </row>
    <row r="307" spans="1:6" x14ac:dyDescent="0.25">
      <c r="A307" s="13" t="str">
        <f>A297</f>
        <v>Algemene Heffingskorting</v>
      </c>
      <c r="B307" s="13"/>
      <c r="C307" s="13"/>
      <c r="D307" s="13"/>
      <c r="E307" s="13">
        <f>Berekeningen!B267</f>
        <v>0</v>
      </c>
      <c r="F307" s="13" t="s">
        <v>260</v>
      </c>
    </row>
    <row r="308" spans="1:6" x14ac:dyDescent="0.25">
      <c r="A308" s="141"/>
      <c r="B308" s="141"/>
      <c r="C308" s="15"/>
      <c r="D308" s="15"/>
      <c r="E308" s="13"/>
      <c r="F308" s="13"/>
    </row>
    <row r="309" spans="1:6" x14ac:dyDescent="0.25">
      <c r="A309" s="13"/>
      <c r="B309" s="13"/>
      <c r="C309" s="13"/>
      <c r="D309" s="13"/>
      <c r="E309" s="13"/>
      <c r="F309" s="13"/>
    </row>
    <row r="310" spans="1:6" x14ac:dyDescent="0.25">
      <c r="A310" s="13"/>
      <c r="B310" s="13"/>
      <c r="C310" s="13"/>
      <c r="D310" s="13"/>
      <c r="E310" s="13"/>
      <c r="F310" s="13"/>
    </row>
    <row r="311" spans="1:6" x14ac:dyDescent="0.25">
      <c r="A311" s="13" t="s">
        <v>125</v>
      </c>
      <c r="B311" s="13"/>
      <c r="C311" s="13"/>
      <c r="D311" s="13"/>
      <c r="E311" s="13">
        <f>IF(E305&lt;E307,E305,E307)</f>
        <v>0</v>
      </c>
      <c r="F311" s="13"/>
    </row>
    <row r="312" spans="1:6" x14ac:dyDescent="0.25">
      <c r="A312" s="13"/>
      <c r="B312" s="13"/>
      <c r="C312" s="13"/>
      <c r="D312" s="13"/>
      <c r="E312" s="13"/>
      <c r="F312" s="13"/>
    </row>
  </sheetData>
  <sheetProtection selectLockedCells="1" selectUnlockedCells="1"/>
  <mergeCells count="2">
    <mergeCell ref="A285:B285"/>
    <mergeCell ref="A308:B30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F3BA447DF054D9EBE3A9CDA443139" ma:contentTypeVersion="15" ma:contentTypeDescription="Een nieuw document maken." ma:contentTypeScope="" ma:versionID="ea0b5d196b13b44b83f4987f925faf24">
  <xsd:schema xmlns:xsd="http://www.w3.org/2001/XMLSchema" xmlns:xs="http://www.w3.org/2001/XMLSchema" xmlns:p="http://schemas.microsoft.com/office/2006/metadata/properties" xmlns:ns2="27a466e9-2e84-4464-a65f-568f58153704" xmlns:ns3="83950275-cb5f-4cdf-aee8-4ca7f4a6058b" targetNamespace="http://schemas.microsoft.com/office/2006/metadata/properties" ma:root="true" ma:fieldsID="ce3a3733839db66e7512bdc1bd8d00ff" ns2:_="" ns3:_="">
    <xsd:import namespace="27a466e9-2e84-4464-a65f-568f58153704"/>
    <xsd:import namespace="83950275-cb5f-4cdf-aee8-4ca7f4a605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466e9-2e84-4464-a65f-568f581537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bc60455-3207-42f1-84ab-0608c6a6fac1}" ma:internalName="TaxCatchAll" ma:showField="CatchAllData" ma:web="27a466e9-2e84-4464-a65f-568f581537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0275-cb5f-4cdf-aee8-4ca7f4a60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a091d06a-215d-4934-b50a-1518b6ff1f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7a466e9-2e84-4464-a65f-568f58153704" xsi:nil="true"/>
    <lcf76f155ced4ddcb4097134ff3c332f xmlns="83950275-cb5f-4cdf-aee8-4ca7f4a6058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5E35A5-1650-4F93-B956-DE3F6F86F2A4}"/>
</file>

<file path=customXml/itemProps2.xml><?xml version="1.0" encoding="utf-8"?>
<ds:datastoreItem xmlns:ds="http://schemas.openxmlformats.org/officeDocument/2006/customXml" ds:itemID="{5D6CEB6A-44C5-42FA-AE7F-71A04896F889}">
  <ds:schemaRefs>
    <ds:schemaRef ds:uri="http://schemas.microsoft.com/office/2006/documentManagement/types"/>
    <ds:schemaRef ds:uri="77208d76-74ef-4048-b6b4-646fa5ac37f5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F5D4E2-DDB3-4C36-A9A7-E6CEC91983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Handleiding</vt:lpstr>
      <vt:lpstr>Ingave</vt:lpstr>
      <vt:lpstr>VT cliënt</vt:lpstr>
      <vt:lpstr>VT partner</vt:lpstr>
      <vt:lpstr>Verrekening</vt:lpstr>
      <vt:lpstr>Gegevens</vt:lpstr>
      <vt:lpstr>Berekeningen</vt:lpstr>
    </vt:vector>
  </TitlesOfParts>
  <Company>JLA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Liemburg</dc:creator>
  <cp:lastModifiedBy>Roberto Reali</cp:lastModifiedBy>
  <cp:lastPrinted>2019-03-19T11:02:56Z</cp:lastPrinted>
  <dcterms:created xsi:type="dcterms:W3CDTF">2008-04-08T06:29:06Z</dcterms:created>
  <dcterms:modified xsi:type="dcterms:W3CDTF">2023-01-02T13:42:01Z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