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igroep-my.sharepoint.com/personal/rreali_wyzer_nl/Documents/Documenten - kopie/Wyzerberekeningen/2022/"/>
    </mc:Choice>
  </mc:AlternateContent>
  <xr:revisionPtr revIDLastSave="2" documentId="8_{351F737A-7A66-4A83-80C0-2F9D0BCEE8FA}" xr6:coauthVersionLast="47" xr6:coauthVersionMax="47" xr10:uidLastSave="{B00A167E-1660-4F7C-B54B-2025E33952E6}"/>
  <bookViews>
    <workbookView xWindow="4770" yWindow="2535" windowWidth="21600" windowHeight="11385" xr2:uid="{00000000-000D-0000-FFFF-FFFF00000000}"/>
  </bookViews>
  <sheets>
    <sheet name="Voorlopige_Definitieve aanslag" sheetId="1" r:id="rId1"/>
    <sheet name="Gekorte Heffingskortingen" sheetId="5" r:id="rId2"/>
    <sheet name="Belastingtarieven2" sheetId="3" state="hidden" r:id="rId3"/>
    <sheet name="tarieven" sheetId="7" r:id="rId4"/>
    <sheet name="Berekeningen" sheetId="4" state="hidden" r:id="rId5"/>
    <sheet name="Berekening Arb.korting" sheetId="6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4" l="1"/>
  <c r="A3" i="4"/>
  <c r="D9" i="4" s="1"/>
  <c r="E9" i="4"/>
  <c r="G7" i="6"/>
  <c r="G6" i="6"/>
  <c r="F27" i="1"/>
  <c r="H27" i="1"/>
  <c r="H57" i="1" s="1"/>
  <c r="E27" i="1"/>
  <c r="B3" i="4" s="1"/>
  <c r="E25" i="1"/>
  <c r="E30" i="1" l="1"/>
  <c r="G8" i="6"/>
  <c r="B1" i="6"/>
  <c r="I44" i="1"/>
  <c r="I43" i="1"/>
  <c r="C19" i="5"/>
  <c r="H65" i="1" s="1"/>
  <c r="I38" i="1"/>
  <c r="I37" i="1"/>
  <c r="I36" i="1"/>
  <c r="D3" i="5"/>
  <c r="F26" i="1"/>
  <c r="B19" i="5"/>
  <c r="H64" i="1" s="1"/>
  <c r="A9" i="4" l="1"/>
  <c r="A19" i="4"/>
  <c r="D14" i="4"/>
  <c r="G9" i="4"/>
  <c r="H14" i="4"/>
  <c r="L9" i="4"/>
  <c r="C19" i="4"/>
  <c r="E37" i="4" s="1"/>
  <c r="I19" i="4"/>
  <c r="E40" i="4" s="1"/>
  <c r="H19" i="4"/>
  <c r="I14" i="4"/>
  <c r="C14" i="4"/>
  <c r="G19" i="4"/>
  <c r="J14" i="4"/>
  <c r="B14" i="4"/>
  <c r="F19" i="4"/>
  <c r="L14" i="4"/>
  <c r="H38" i="1" s="1"/>
  <c r="A14" i="4"/>
  <c r="E19" i="4"/>
  <c r="E38" i="4" s="1"/>
  <c r="K9" i="4"/>
  <c r="F14" i="4"/>
  <c r="B19" i="4"/>
  <c r="H9" i="4"/>
  <c r="C29" i="4" s="1"/>
  <c r="D19" i="4"/>
  <c r="G14" i="4"/>
  <c r="I44" i="4" s="1"/>
  <c r="H37" i="1" s="1"/>
  <c r="I9" i="4"/>
  <c r="E14" i="4"/>
  <c r="J19" i="4"/>
  <c r="F9" i="4"/>
  <c r="C28" i="4" s="1"/>
  <c r="C27" i="4"/>
  <c r="C9" i="4"/>
  <c r="E26" i="4" s="1"/>
  <c r="B9" i="4"/>
  <c r="C26" i="4" s="1"/>
  <c r="C30" i="1" s="1"/>
  <c r="C8" i="6"/>
  <c r="G17" i="6" s="1"/>
  <c r="C7" i="6"/>
  <c r="C16" i="6" s="1"/>
  <c r="C6" i="6"/>
  <c r="G12" i="6" s="1"/>
  <c r="C14" i="6"/>
  <c r="C12" i="6"/>
  <c r="C11" i="6"/>
  <c r="G22" i="6" s="1"/>
  <c r="C9" i="6"/>
  <c r="C13" i="6"/>
  <c r="G26" i="6" s="1"/>
  <c r="C5" i="6"/>
  <c r="H66" i="1"/>
  <c r="I39" i="4" l="1"/>
  <c r="C38" i="4"/>
  <c r="G38" i="4"/>
  <c r="I38" i="4" s="1"/>
  <c r="G37" i="4"/>
  <c r="I37" i="4" s="1"/>
  <c r="G33" i="4"/>
  <c r="H35" i="1" s="1"/>
  <c r="C40" i="4"/>
  <c r="G40" i="4"/>
  <c r="E27" i="4"/>
  <c r="E28" i="4" s="1"/>
  <c r="G26" i="4"/>
  <c r="C10" i="6"/>
  <c r="C17" i="6"/>
  <c r="C18" i="6"/>
  <c r="F22" i="6"/>
  <c r="F26" i="6"/>
  <c r="I26" i="6" s="1"/>
  <c r="F17" i="6"/>
  <c r="F12" i="6"/>
  <c r="I12" i="6" s="1"/>
  <c r="I40" i="4" l="1"/>
  <c r="I41" i="4" s="1"/>
  <c r="H36" i="1" s="1"/>
  <c r="H40" i="1" s="1"/>
  <c r="H30" i="1"/>
  <c r="G27" i="4"/>
  <c r="I22" i="6"/>
  <c r="I17" i="6"/>
  <c r="C19" i="6"/>
  <c r="F23" i="6"/>
  <c r="F33" i="1"/>
  <c r="F32" i="1"/>
  <c r="D31" i="1" l="1"/>
  <c r="E31" i="1"/>
  <c r="C31" i="1"/>
  <c r="A31" i="1"/>
  <c r="H31" i="1"/>
  <c r="G28" i="4"/>
  <c r="E29" i="4"/>
  <c r="G29" i="4" s="1"/>
  <c r="I27" i="6"/>
  <c r="H33" i="1" l="1"/>
  <c r="E33" i="1"/>
  <c r="A33" i="1"/>
  <c r="C33" i="1"/>
  <c r="D33" i="1"/>
  <c r="A32" i="1"/>
  <c r="D32" i="1"/>
  <c r="E32" i="1"/>
  <c r="H32" i="1"/>
  <c r="H34" i="1" s="1"/>
  <c r="H43" i="1" s="1"/>
  <c r="C32" i="1"/>
  <c r="G31" i="4"/>
  <c r="H44" i="1"/>
  <c r="H45" i="1" l="1"/>
  <c r="H56" i="1" s="1"/>
  <c r="H58" i="1" s="1"/>
  <c r="H60" i="1" s="1"/>
  <c r="A60" i="1" s="1"/>
  <c r="H68" i="1" l="1"/>
  <c r="A6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Jacob</author>
  </authors>
  <commentList>
    <comment ref="B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Dit formulier kan gebruikt worden voor de jaren 2001 t/m 2027.
Vul op het tabblad Belastingtarieven eerst de percentages voor die jaren in.</t>
        </r>
      </text>
    </commen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Vul hier de naam van uw gemeente in.</t>
        </r>
      </text>
    </comment>
    <comment ref="E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Het fiscaal loon is het loon waarover belasting is verschuldigd. Vul hier het bedrag in wat op de jaaropgave staat.</t>
        </r>
      </text>
    </comment>
    <comment ref="F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Bij inkomen uit tegenwoordige arbeid hoort arbeidskorting, vul deze hier in.</t>
        </r>
      </text>
    </comment>
    <comment ref="A8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Vul in onderstaande velden de naam van de werkgever(s) in.</t>
        </r>
      </text>
    </comment>
    <comment ref="A16" authorId="0" shapeId="0" xr:uid="{FB39ED5A-AF8C-4C54-94C6-C3597F2683B1}">
      <text>
        <r>
          <rPr>
            <b/>
            <sz val="9"/>
            <color indexed="81"/>
            <rFont val="Tahoma"/>
            <family val="2"/>
          </rPr>
          <t>Onder overige werkzaamheden wordt bijvoorbeeld verstaan freelance werkzaamheden, klusjes e.d.</t>
        </r>
      </text>
    </comment>
    <comment ref="A17" authorId="0" shapeId="0" xr:uid="{BC176C1C-311A-4AAD-88F2-3CF412FF4C71}">
      <text>
        <r>
          <rPr>
            <b/>
            <sz val="9"/>
            <color indexed="81"/>
            <rFont val="Tahoma"/>
            <family val="2"/>
          </rPr>
          <t>Onder overige werkzaamheden wordt bijvoorbeeld verstaan freelance werkzaamheden, klusjes e.d.</t>
        </r>
      </text>
    </comment>
    <comment ref="E26" authorId="0" shapeId="0" xr:uid="{19081530-CD5B-4989-8DBF-E02E39C7F067}">
      <text>
        <r>
          <rPr>
            <b/>
            <sz val="9"/>
            <color indexed="81"/>
            <rFont val="Tahoma"/>
            <family val="2"/>
          </rPr>
          <t>Als er buitengewone lasten op de belastingaangifte staan, vult u het af te trekken bedrag hier in.</t>
        </r>
      </text>
    </comment>
    <comment ref="H59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Op de voorzijde van de aanslag staat het bedrag dat belanghebbende als voorlopige aanslag reeds heeft ontvangen. Vermeldt dit bedrag in dit veld.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Jacob</author>
  </authors>
  <commentList>
    <comment ref="B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In deze kolom vermeldt u de op de uitkering gekorte Inkomensafhankelijke combinatiekorting.</t>
        </r>
      </text>
    </comment>
    <comment ref="C5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In deze kolom vermeldt u de gekorte Algemene Heffingskorting Minstverdienende partner, maar eventueel kunt u deze kolom ook gebruiken voor mogelijk andere gekorte heffingskortingen.</t>
        </r>
      </text>
    </comment>
    <comment ref="A18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Hier kunt u ook het jaarbedrag van de gekorte heffingskortingen vermelden.</t>
        </r>
      </text>
    </comment>
  </commentList>
</comments>
</file>

<file path=xl/sharedStrings.xml><?xml version="1.0" encoding="utf-8"?>
<sst xmlns="http://schemas.openxmlformats.org/spreadsheetml/2006/main" count="216" uniqueCount="123">
  <si>
    <t>Inkomen uit vroegere dienstbetrekking</t>
  </si>
  <si>
    <t>Inkomen</t>
  </si>
  <si>
    <t>Inkomstenbelasting box1</t>
  </si>
  <si>
    <t>Arbeidskorting</t>
  </si>
  <si>
    <t>Totaal heffingskortingen</t>
  </si>
  <si>
    <t>-</t>
  </si>
  <si>
    <t>Bedrag van de voorlopige aanslag</t>
  </si>
  <si>
    <t>Totaal van de aanslag</t>
  </si>
  <si>
    <t>WW</t>
  </si>
  <si>
    <t>Pensioen</t>
  </si>
  <si>
    <t>Inkomen uit tegenwoordige dienstbetrekking</t>
  </si>
  <si>
    <t>Loonheffing (ingehouden op uitkeringen en loon)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</si>
  <si>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</si>
  <si>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</si>
  <si>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</si>
  <si>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</si>
  <si>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</si>
  <si>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</si>
  <si>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</si>
  <si>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</si>
  <si>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</si>
  <si>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</si>
  <si>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</si>
  <si>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</si>
  <si>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Voorlopige/definitieve aanslag</t>
  </si>
  <si>
    <t>Jaar:</t>
  </si>
  <si>
    <t>AHK</t>
  </si>
  <si>
    <t>1e schijf</t>
  </si>
  <si>
    <t>2e schijf</t>
  </si>
  <si>
    <t>Pr.Volksv</t>
  </si>
  <si>
    <t>Gekorte heffingskortingen op de uitkering</t>
  </si>
  <si>
    <t>Maand</t>
  </si>
  <si>
    <t>extra</t>
  </si>
  <si>
    <t>Totaal</t>
  </si>
  <si>
    <t>Inkomensafhankelijke combinatiekorting</t>
  </si>
  <si>
    <t>Arb.korting</t>
  </si>
  <si>
    <t>van</t>
  </si>
  <si>
    <t>Eerder verleende voorlopige teruggave(n)</t>
  </si>
  <si>
    <t>Fiscaal loon</t>
  </si>
  <si>
    <t>Overige sociale uitkeringen</t>
  </si>
  <si>
    <t>Algemene heffingskorting minstverdienende  partner</t>
  </si>
  <si>
    <t>Eerste schijf</t>
  </si>
  <si>
    <t>Heffingskortingen</t>
  </si>
  <si>
    <t>Partneralimentatie</t>
  </si>
  <si>
    <t>Tabel inkomstenbelasting</t>
  </si>
  <si>
    <t>Tabel arbeidskorting</t>
  </si>
  <si>
    <t>Jaar</t>
  </si>
  <si>
    <t>% 1e schijf</t>
  </si>
  <si>
    <t>Max 1e</t>
  </si>
  <si>
    <t>perc 2e</t>
  </si>
  <si>
    <t xml:space="preserve">  </t>
  </si>
  <si>
    <t>Perc 1e schijf</t>
  </si>
  <si>
    <t>Perc 2e schijf</t>
  </si>
  <si>
    <t>Berekenen over:</t>
  </si>
  <si>
    <t>Maximum</t>
  </si>
  <si>
    <t>Algemene Heffingskorting</t>
  </si>
  <si>
    <t>Inkomsten uit overige werkzaamheden en/of zelfstandigen</t>
  </si>
  <si>
    <t>Inkomstenbelasting/premie volksverzekeringen</t>
  </si>
  <si>
    <t>Inkomstenbelasting box 1</t>
  </si>
  <si>
    <t>Inkomstenbelasting en premie volksverzekeringen</t>
  </si>
  <si>
    <t>Max. 2e</t>
  </si>
  <si>
    <t>schijf</t>
  </si>
  <si>
    <t>Perc. 3e</t>
  </si>
  <si>
    <t>Max 1e schijf</t>
  </si>
  <si>
    <t>Perc. 3e schijf</t>
  </si>
  <si>
    <t>Max. 2e schijf</t>
  </si>
  <si>
    <t>Max 3e schijf</t>
  </si>
  <si>
    <t>Max. 3e</t>
  </si>
  <si>
    <t>Afbouw</t>
  </si>
  <si>
    <t>Max. 3e schijf</t>
  </si>
  <si>
    <t>Afbouw perc</t>
  </si>
  <si>
    <t>Max. arb.k.</t>
  </si>
  <si>
    <t>Loon</t>
  </si>
  <si>
    <t>Zelfst.</t>
  </si>
  <si>
    <t>Max 2e schijf</t>
  </si>
  <si>
    <t>3e schijf</t>
  </si>
  <si>
    <t>Afbouw:</t>
  </si>
  <si>
    <t>Perc</t>
  </si>
  <si>
    <t>© Wyzer academie</t>
  </si>
  <si>
    <t>Naam</t>
  </si>
  <si>
    <t>afbouw va 21043 5977</t>
  </si>
  <si>
    <t>afbouw va 21043 5,977%</t>
  </si>
  <si>
    <t>Arbeids korting</t>
  </si>
  <si>
    <t>Inkomensafhankelijke
combinatiekorting</t>
  </si>
  <si>
    <t>Algemene Heffingskorting
Minstverdienende Partner</t>
  </si>
  <si>
    <t>afbouw</t>
  </si>
  <si>
    <t>4e schijf</t>
  </si>
  <si>
    <t>Loonhefffing</t>
  </si>
  <si>
    <t xml:space="preserve"> Participatiewet</t>
  </si>
  <si>
    <t>Wajong</t>
  </si>
  <si>
    <t>Tabel inkomstenbelasting &lt;AOW</t>
  </si>
  <si>
    <t>AHKMVP</t>
  </si>
  <si>
    <t>JGK</t>
  </si>
  <si>
    <t>Tabel inkomensafhankelijke  ombinatiekorting</t>
  </si>
  <si>
    <t>geen hk t/m</t>
  </si>
  <si>
    <t>max vanaf</t>
  </si>
  <si>
    <t>jaar</t>
  </si>
  <si>
    <t>fisc loon</t>
  </si>
  <si>
    <t>Loonheffing</t>
  </si>
  <si>
    <t>vanaf</t>
  </si>
  <si>
    <t>maxIACK</t>
  </si>
  <si>
    <t>min ink iack</t>
  </si>
  <si>
    <t>arbeidsinkomen</t>
  </si>
  <si>
    <t>perc IACK</t>
  </si>
  <si>
    <t>max ink voor perc IACK</t>
  </si>
  <si>
    <t>Afbouw vanf</t>
  </si>
  <si>
    <t>vast bedrag</t>
  </si>
  <si>
    <t>ZVW</t>
  </si>
  <si>
    <t xml:space="preserve">max </t>
  </si>
  <si>
    <t>Berekening te betalen LH</t>
  </si>
  <si>
    <t>is</t>
  </si>
  <si>
    <t>Aftrek zorgkosten/ buitengewone lasten</t>
  </si>
  <si>
    <t>plus</t>
  </si>
  <si>
    <t>min</t>
  </si>
  <si>
    <t>iack</t>
  </si>
  <si>
    <t xml:space="preserve">Jonggehandicaptenkorting </t>
  </si>
  <si>
    <t>Ink. Afhank. Comb. Korting?</t>
  </si>
  <si>
    <t>ja</t>
  </si>
  <si>
    <t>nee</t>
  </si>
  <si>
    <t xml:space="preserve">Algemene Heffingskorting minstverdienende partner </t>
  </si>
  <si>
    <t>Totaal inkomstenen Loonheffing</t>
  </si>
  <si>
    <t>Reeds gekorte heffingskorting  op uitkering</t>
  </si>
  <si>
    <t>(zie tabblad Gekorte heffingskortingen)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</si>
</sst>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0.000%"/>
  </numFmts>
  <fonts count="2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0"/>
      <color rgb="FF87418C"/>
      <name val="Calibri"/>
      <family val="2"/>
      <scheme val="minor"/>
    </font>
    <font>
      <sz val="10"/>
      <color rgb="FF87418C"/>
      <name val="Calibri"/>
      <family val="2"/>
      <scheme val="minor"/>
    </font>
    <font>
      <sz val="10"/>
      <name val="Arial"/>
      <family val="2"/>
    </font>
    <font>
      <b/>
      <sz val="8"/>
      <color indexed="81"/>
      <name val="Tahoma"/>
      <family val="2"/>
    </font>
    <font>
      <sz val="10"/>
      <color theme="0" tint="-0.149998474074526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7418C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48">
    <xf numFmtId="0" fontId="0" fillId="0" borderId="0" xfId="0"/>
    <xf numFmtId="0" fontId="5" fillId="0" borderId="0" xfId="0" applyFont="1"/>
    <xf numFmtId="0" fontId="2" fillId="0" borderId="0" xfId="0" applyFont="1" applyProtection="1">
      <protection hidden="1"/>
    </xf>
    <xf numFmtId="44" fontId="2" fillId="0" borderId="0" xfId="0" applyNumberFormat="1" applyFont="1" applyProtection="1">
      <protection hidden="1"/>
    </xf>
    <xf numFmtId="164" fontId="2" fillId="0" borderId="0" xfId="0" applyNumberFormat="1" applyFont="1" applyProtection="1">
      <protection hidden="1"/>
    </xf>
    <xf numFmtId="43" fontId="2" fillId="0" borderId="0" xfId="0" applyNumberFormat="1" applyFont="1" applyProtection="1">
      <protection hidden="1"/>
    </xf>
    <xf numFmtId="43" fontId="2" fillId="0" borderId="16" xfId="0" applyNumberFormat="1" applyFont="1" applyBorder="1" applyProtection="1">
      <protection hidden="1"/>
    </xf>
    <xf numFmtId="43" fontId="6" fillId="0" borderId="0" xfId="0" applyNumberFormat="1" applyFont="1" applyProtection="1">
      <protection hidden="1"/>
    </xf>
    <xf numFmtId="0" fontId="2" fillId="0" borderId="16" xfId="0" applyFont="1" applyBorder="1" applyProtection="1">
      <protection hidden="1"/>
    </xf>
    <xf numFmtId="0" fontId="7" fillId="2" borderId="0" xfId="0" applyFont="1" applyFill="1"/>
    <xf numFmtId="0" fontId="7" fillId="0" borderId="0" xfId="0" applyFont="1"/>
    <xf numFmtId="2" fontId="7" fillId="0" borderId="0" xfId="0" applyNumberFormat="1" applyFont="1"/>
    <xf numFmtId="2" fontId="7" fillId="2" borderId="0" xfId="0" applyNumberFormat="1" applyFont="1" applyFill="1"/>
    <xf numFmtId="0" fontId="7" fillId="2" borderId="27" xfId="0" applyFont="1" applyFill="1" applyBorder="1"/>
    <xf numFmtId="2" fontId="7" fillId="2" borderId="28" xfId="0" applyNumberFormat="1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2" fontId="7" fillId="2" borderId="29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0" fontId="7" fillId="0" borderId="3" xfId="0" applyFont="1" applyBorder="1" applyProtection="1">
      <protection locked="0"/>
    </xf>
    <xf numFmtId="2" fontId="7" fillId="0" borderId="4" xfId="0" applyNumberFormat="1" applyFont="1" applyBorder="1" applyProtection="1">
      <protection locked="0"/>
    </xf>
    <xf numFmtId="10" fontId="7" fillId="0" borderId="4" xfId="0" applyNumberFormat="1" applyFont="1" applyBorder="1" applyProtection="1">
      <protection locked="0"/>
    </xf>
    <xf numFmtId="2" fontId="7" fillId="0" borderId="21" xfId="0" applyNumberFormat="1" applyFont="1" applyBorder="1" applyProtection="1">
      <protection locked="0"/>
    </xf>
    <xf numFmtId="0" fontId="7" fillId="0" borderId="5" xfId="0" applyFont="1" applyBorder="1" applyProtection="1">
      <protection locked="0"/>
    </xf>
    <xf numFmtId="2" fontId="7" fillId="0" borderId="6" xfId="0" applyNumberFormat="1" applyFont="1" applyBorder="1" applyProtection="1">
      <protection locked="0"/>
    </xf>
    <xf numFmtId="10" fontId="7" fillId="0" borderId="6" xfId="0" applyNumberFormat="1" applyFont="1" applyBorder="1" applyProtection="1">
      <protection locked="0"/>
    </xf>
    <xf numFmtId="2" fontId="7" fillId="0" borderId="22" xfId="0" applyNumberFormat="1" applyFont="1" applyBorder="1" applyProtection="1">
      <protection locked="0"/>
    </xf>
    <xf numFmtId="164" fontId="7" fillId="0" borderId="4" xfId="0" applyNumberFormat="1" applyFont="1" applyBorder="1" applyProtection="1">
      <protection locked="0"/>
    </xf>
    <xf numFmtId="164" fontId="7" fillId="0" borderId="6" xfId="0" applyNumberFormat="1" applyFont="1" applyBorder="1" applyProtection="1">
      <protection locked="0"/>
    </xf>
    <xf numFmtId="0" fontId="7" fillId="0" borderId="6" xfId="0" applyFont="1" applyBorder="1" applyProtection="1">
      <protection locked="0"/>
    </xf>
    <xf numFmtId="2" fontId="7" fillId="2" borderId="0" xfId="0" applyNumberFormat="1" applyFont="1" applyFill="1" applyBorder="1"/>
    <xf numFmtId="2" fontId="7" fillId="2" borderId="23" xfId="0" applyNumberFormat="1" applyFont="1" applyFill="1" applyBorder="1"/>
    <xf numFmtId="0" fontId="8" fillId="2" borderId="0" xfId="0" applyFont="1" applyFill="1"/>
    <xf numFmtId="0" fontId="5" fillId="3" borderId="0" xfId="0" applyFont="1" applyFill="1"/>
    <xf numFmtId="0" fontId="10" fillId="4" borderId="0" xfId="0" applyFont="1" applyFill="1"/>
    <xf numFmtId="0" fontId="7" fillId="3" borderId="0" xfId="0" applyFont="1" applyFill="1"/>
    <xf numFmtId="0" fontId="8" fillId="3" borderId="0" xfId="0" applyFont="1" applyFill="1"/>
    <xf numFmtId="43" fontId="7" fillId="0" borderId="0" xfId="0" applyNumberFormat="1" applyFont="1"/>
    <xf numFmtId="0" fontId="11" fillId="0" borderId="0" xfId="0" applyFont="1"/>
    <xf numFmtId="2" fontId="7" fillId="0" borderId="2" xfId="0" applyNumberFormat="1" applyFont="1" applyBorder="1" applyProtection="1">
      <protection locked="0"/>
    </xf>
    <xf numFmtId="43" fontId="7" fillId="0" borderId="2" xfId="0" applyNumberFormat="1" applyFont="1" applyBorder="1" applyProtection="1">
      <protection locked="0"/>
    </xf>
    <xf numFmtId="0" fontId="12" fillId="2" borderId="0" xfId="0" applyFont="1" applyFill="1" applyAlignment="1">
      <alignment horizontal="left"/>
    </xf>
    <xf numFmtId="43" fontId="7" fillId="2" borderId="0" xfId="0" applyNumberFormat="1" applyFont="1" applyFill="1"/>
    <xf numFmtId="0" fontId="12" fillId="2" borderId="0" xfId="0" applyFont="1" applyFill="1"/>
    <xf numFmtId="0" fontId="11" fillId="2" borderId="0" xfId="0" applyFont="1" applyFill="1"/>
    <xf numFmtId="0" fontId="14" fillId="4" borderId="0" xfId="0" applyFont="1" applyFill="1" applyAlignment="1">
      <alignment horizontal="left"/>
    </xf>
    <xf numFmtId="43" fontId="10" fillId="4" borderId="0" xfId="0" applyNumberFormat="1" applyFont="1" applyFill="1"/>
    <xf numFmtId="0" fontId="13" fillId="3" borderId="1" xfId="0" applyFont="1" applyFill="1" applyBorder="1" applyProtection="1">
      <protection locked="0"/>
    </xf>
    <xf numFmtId="43" fontId="7" fillId="2" borderId="4" xfId="0" applyNumberFormat="1" applyFont="1" applyFill="1" applyBorder="1"/>
    <xf numFmtId="43" fontId="7" fillId="2" borderId="19" xfId="0" applyNumberFormat="1" applyFont="1" applyFill="1" applyBorder="1"/>
    <xf numFmtId="43" fontId="7" fillId="2" borderId="18" xfId="0" applyNumberFormat="1" applyFont="1" applyFill="1" applyBorder="1"/>
    <xf numFmtId="44" fontId="7" fillId="2" borderId="0" xfId="0" applyNumberFormat="1" applyFont="1" applyFill="1"/>
    <xf numFmtId="44" fontId="7" fillId="3" borderId="0" xfId="0" applyNumberFormat="1" applyFont="1" applyFill="1"/>
    <xf numFmtId="10" fontId="7" fillId="2" borderId="0" xfId="0" applyNumberFormat="1" applyFont="1" applyFill="1"/>
    <xf numFmtId="0" fontId="7" fillId="2" borderId="0" xfId="0" applyFont="1" applyFill="1" applyAlignment="1">
      <alignment horizontal="center"/>
    </xf>
    <xf numFmtId="44" fontId="7" fillId="2" borderId="19" xfId="0" applyNumberFormat="1" applyFont="1" applyFill="1" applyBorder="1"/>
    <xf numFmtId="0" fontId="15" fillId="4" borderId="0" xfId="0" applyFont="1" applyFill="1"/>
    <xf numFmtId="0" fontId="16" fillId="4" borderId="0" xfId="0" applyFont="1" applyFill="1"/>
    <xf numFmtId="44" fontId="15" fillId="4" borderId="20" xfId="0" applyNumberFormat="1" applyFont="1" applyFill="1" applyBorder="1"/>
    <xf numFmtId="0" fontId="11" fillId="2" borderId="0" xfId="0" applyFont="1" applyFill="1" applyAlignment="1">
      <alignment wrapText="1"/>
    </xf>
    <xf numFmtId="2" fontId="18" fillId="2" borderId="0" xfId="0" applyNumberFormat="1" applyFont="1" applyFill="1"/>
    <xf numFmtId="0" fontId="2" fillId="0" borderId="0" xfId="0" applyFont="1"/>
    <xf numFmtId="0" fontId="9" fillId="4" borderId="0" xfId="0" applyFont="1" applyFill="1" applyAlignment="1">
      <alignment horizontal="center"/>
    </xf>
    <xf numFmtId="0" fontId="5" fillId="3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11" fillId="2" borderId="7" xfId="0" applyFont="1" applyFill="1" applyBorder="1" applyAlignment="1">
      <alignment wrapText="1"/>
    </xf>
    <xf numFmtId="0" fontId="7" fillId="2" borderId="9" xfId="0" applyFont="1" applyFill="1" applyBorder="1"/>
    <xf numFmtId="0" fontId="11" fillId="2" borderId="8" xfId="0" applyFont="1" applyFill="1" applyBorder="1" applyAlignment="1">
      <alignment horizontal="center" wrapText="1"/>
    </xf>
    <xf numFmtId="0" fontId="11" fillId="2" borderId="12" xfId="0" applyFont="1" applyFill="1" applyBorder="1" applyAlignment="1">
      <alignment horizontal="center" wrapText="1"/>
    </xf>
    <xf numFmtId="2" fontId="7" fillId="3" borderId="4" xfId="0" applyNumberFormat="1" applyFont="1" applyFill="1" applyBorder="1" applyProtection="1">
      <protection locked="0"/>
    </xf>
    <xf numFmtId="2" fontId="7" fillId="3" borderId="13" xfId="0" applyNumberFormat="1" applyFont="1" applyFill="1" applyBorder="1" applyProtection="1">
      <protection locked="0"/>
    </xf>
    <xf numFmtId="2" fontId="7" fillId="3" borderId="6" xfId="0" applyNumberFormat="1" applyFont="1" applyFill="1" applyBorder="1" applyProtection="1">
      <protection locked="0"/>
    </xf>
    <xf numFmtId="2" fontId="7" fillId="3" borderId="14" xfId="0" applyNumberFormat="1" applyFont="1" applyFill="1" applyBorder="1" applyProtection="1">
      <protection locked="0"/>
    </xf>
    <xf numFmtId="0" fontId="17" fillId="2" borderId="10" xfId="0" applyFont="1" applyFill="1" applyBorder="1"/>
    <xf numFmtId="2" fontId="17" fillId="2" borderId="11" xfId="0" applyNumberFormat="1" applyFont="1" applyFill="1" applyBorder="1"/>
    <xf numFmtId="2" fontId="17" fillId="2" borderId="15" xfId="0" applyNumberFormat="1" applyFont="1" applyFill="1" applyBorder="1"/>
    <xf numFmtId="0" fontId="7" fillId="2" borderId="0" xfId="0" applyFont="1" applyFill="1" applyAlignment="1">
      <alignment horizontal="left"/>
    </xf>
    <xf numFmtId="0" fontId="7" fillId="2" borderId="17" xfId="0" applyFont="1" applyFill="1" applyBorder="1" applyAlignment="1">
      <alignment horizontal="left"/>
    </xf>
    <xf numFmtId="0" fontId="7" fillId="0" borderId="2" xfId="0" applyFont="1" applyFill="1" applyBorder="1" applyProtection="1">
      <protection locked="0"/>
    </xf>
    <xf numFmtId="43" fontId="11" fillId="2" borderId="0" xfId="0" applyNumberFormat="1" applyFont="1" applyFill="1"/>
    <xf numFmtId="43" fontId="11" fillId="2" borderId="0" xfId="0" applyNumberFormat="1" applyFont="1" applyFill="1" applyBorder="1"/>
    <xf numFmtId="43" fontId="7" fillId="2" borderId="0" xfId="0" applyNumberFormat="1" applyFont="1" applyFill="1" applyBorder="1" applyProtection="1"/>
    <xf numFmtId="0" fontId="11" fillId="2" borderId="0" xfId="0" applyFont="1" applyFill="1" applyAlignment="1"/>
    <xf numFmtId="0" fontId="11" fillId="2" borderId="17" xfId="0" applyFont="1" applyFill="1" applyBorder="1" applyAlignment="1"/>
    <xf numFmtId="0" fontId="17" fillId="2" borderId="0" xfId="0" applyFont="1" applyFill="1" applyAlignment="1"/>
    <xf numFmtId="0" fontId="7" fillId="2" borderId="0" xfId="0" applyFont="1" applyFill="1" applyAlignment="1"/>
    <xf numFmtId="0" fontId="7" fillId="2" borderId="17" xfId="0" applyFont="1" applyFill="1" applyBorder="1" applyAlignment="1"/>
    <xf numFmtId="0" fontId="7" fillId="3" borderId="0" xfId="0" applyFont="1" applyFill="1" applyAlignment="1" applyProtection="1">
      <protection locked="0"/>
    </xf>
    <xf numFmtId="0" fontId="7" fillId="0" borderId="24" xfId="0" applyFont="1" applyBorder="1" applyAlignment="1" applyProtection="1">
      <protection locked="0"/>
    </xf>
    <xf numFmtId="0" fontId="7" fillId="0" borderId="25" xfId="0" applyFont="1" applyBorder="1" applyAlignment="1" applyProtection="1">
      <protection locked="0"/>
    </xf>
    <xf numFmtId="0" fontId="7" fillId="0" borderId="26" xfId="0" applyFont="1" applyBorder="1" applyAlignment="1" applyProtection="1">
      <protection locked="0"/>
    </xf>
    <xf numFmtId="2" fontId="18" fillId="2" borderId="0" xfId="0" applyNumberFormat="1" applyFont="1" applyFill="1" applyAlignment="1"/>
    <xf numFmtId="43" fontId="2" fillId="0" borderId="0" xfId="0" applyNumberFormat="1" applyFont="1"/>
    <xf numFmtId="43" fontId="17" fillId="2" borderId="0" xfId="0" applyNumberFormat="1" applyFont="1" applyFill="1" applyBorder="1" applyAlignment="1"/>
    <xf numFmtId="43" fontId="17" fillId="2" borderId="4" xfId="0" applyNumberFormat="1" applyFont="1" applyFill="1" applyBorder="1"/>
    <xf numFmtId="10" fontId="0" fillId="0" borderId="0" xfId="0" applyNumberFormat="1"/>
    <xf numFmtId="164" fontId="0" fillId="0" borderId="0" xfId="0" applyNumberFormat="1"/>
    <xf numFmtId="2" fontId="0" fillId="0" borderId="0" xfId="0" applyNumberFormat="1"/>
    <xf numFmtId="2" fontId="2" fillId="0" borderId="0" xfId="0" applyNumberFormat="1" applyFont="1"/>
    <xf numFmtId="2" fontId="7" fillId="0" borderId="0" xfId="0" applyNumberFormat="1" applyFont="1" applyFill="1"/>
    <xf numFmtId="0" fontId="7" fillId="0" borderId="0" xfId="0" applyFont="1" applyFill="1"/>
    <xf numFmtId="0" fontId="7" fillId="2" borderId="27" xfId="0" applyFont="1" applyFill="1" applyBorder="1" applyAlignment="1">
      <alignment wrapText="1"/>
    </xf>
    <xf numFmtId="2" fontId="7" fillId="2" borderId="28" xfId="0" applyNumberFormat="1" applyFont="1" applyFill="1" applyBorder="1" applyAlignment="1">
      <alignment horizontal="center" wrapText="1"/>
    </xf>
    <xf numFmtId="0" fontId="7" fillId="2" borderId="28" xfId="0" applyFont="1" applyFill="1" applyBorder="1" applyAlignment="1">
      <alignment horizontal="center" wrapText="1"/>
    </xf>
    <xf numFmtId="2" fontId="7" fillId="2" borderId="29" xfId="0" applyNumberFormat="1" applyFont="1" applyFill="1" applyBorder="1" applyAlignment="1">
      <alignment horizontal="center" wrapText="1"/>
    </xf>
    <xf numFmtId="2" fontId="7" fillId="0" borderId="0" xfId="0" applyNumberFormat="1" applyFont="1" applyFill="1" applyAlignment="1">
      <alignment wrapText="1"/>
    </xf>
    <xf numFmtId="2" fontId="7" fillId="0" borderId="0" xfId="0" applyNumberFormat="1" applyFont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164" fontId="7" fillId="0" borderId="0" xfId="6" applyNumberFormat="1" applyFont="1"/>
    <xf numFmtId="2" fontId="7" fillId="5" borderId="29" xfId="0" applyNumberFormat="1" applyFont="1" applyFill="1" applyBorder="1" applyAlignment="1">
      <alignment horizontal="center" wrapText="1"/>
    </xf>
    <xf numFmtId="2" fontId="7" fillId="5" borderId="0" xfId="0" applyNumberFormat="1" applyFont="1" applyFill="1" applyAlignment="1">
      <alignment wrapText="1"/>
    </xf>
    <xf numFmtId="0" fontId="7" fillId="5" borderId="0" xfId="0" applyFont="1" applyFill="1" applyAlignment="1">
      <alignment wrapText="1"/>
    </xf>
    <xf numFmtId="0" fontId="7" fillId="5" borderId="0" xfId="0" applyFont="1" applyFill="1"/>
    <xf numFmtId="2" fontId="7" fillId="5" borderId="0" xfId="0" applyNumberFormat="1" applyFont="1" applyFill="1"/>
    <xf numFmtId="0" fontId="2" fillId="5" borderId="0" xfId="0" applyFont="1" applyFill="1"/>
    <xf numFmtId="0" fontId="7" fillId="5" borderId="27" xfId="0" applyFont="1" applyFill="1" applyBorder="1"/>
    <xf numFmtId="0" fontId="7" fillId="5" borderId="28" xfId="0" applyFont="1" applyFill="1" applyBorder="1" applyAlignment="1">
      <alignment horizontal="center"/>
    </xf>
    <xf numFmtId="2" fontId="7" fillId="5" borderId="29" xfId="0" applyNumberFormat="1" applyFont="1" applyFill="1" applyBorder="1" applyAlignment="1">
      <alignment horizontal="center"/>
    </xf>
    <xf numFmtId="0" fontId="7" fillId="5" borderId="27" xfId="0" applyFont="1" applyFill="1" applyBorder="1" applyAlignment="1">
      <alignment wrapText="1"/>
    </xf>
    <xf numFmtId="2" fontId="7" fillId="5" borderId="28" xfId="0" applyNumberFormat="1" applyFont="1" applyFill="1" applyBorder="1" applyAlignment="1">
      <alignment horizontal="center" wrapText="1"/>
    </xf>
    <xf numFmtId="0" fontId="7" fillId="5" borderId="28" xfId="0" applyFont="1" applyFill="1" applyBorder="1" applyAlignment="1">
      <alignment horizontal="center" wrapText="1"/>
    </xf>
    <xf numFmtId="9" fontId="2" fillId="0" borderId="0" xfId="6" applyFont="1"/>
    <xf numFmtId="164" fontId="2" fillId="0" borderId="0" xfId="6" applyNumberFormat="1" applyFont="1"/>
    <xf numFmtId="164" fontId="2" fillId="0" borderId="0" xfId="0" applyNumberFormat="1" applyFont="1"/>
    <xf numFmtId="43" fontId="7" fillId="2" borderId="2" xfId="0" applyNumberFormat="1" applyFont="1" applyFill="1" applyBorder="1"/>
    <xf numFmtId="44" fontId="2" fillId="0" borderId="0" xfId="5" applyFont="1"/>
    <xf numFmtId="43" fontId="7" fillId="0" borderId="19" xfId="0" applyNumberFormat="1" applyFont="1" applyBorder="1" applyProtection="1">
      <protection locked="0"/>
    </xf>
    <xf numFmtId="43" fontId="17" fillId="2" borderId="0" xfId="0" applyNumberFormat="1" applyFont="1" applyFill="1"/>
    <xf numFmtId="0" fontId="11" fillId="2" borderId="0" xfId="0" applyFont="1" applyFill="1" applyBorder="1" applyAlignment="1"/>
    <xf numFmtId="43" fontId="7" fillId="2" borderId="0" xfId="0" applyNumberFormat="1" applyFont="1" applyFill="1" applyBorder="1" applyProtection="1">
      <protection locked="0"/>
    </xf>
    <xf numFmtId="0" fontId="7" fillId="2" borderId="0" xfId="0" applyFont="1" applyFill="1" applyBorder="1"/>
    <xf numFmtId="44" fontId="7" fillId="0" borderId="18" xfId="5" applyFont="1" applyBorder="1" applyAlignment="1" applyProtection="1">
      <protection locked="0"/>
    </xf>
    <xf numFmtId="43" fontId="17" fillId="2" borderId="2" xfId="0" applyNumberFormat="1" applyFont="1" applyFill="1" applyBorder="1" applyAlignment="1"/>
    <xf numFmtId="2" fontId="18" fillId="2" borderId="2" xfId="0" applyNumberFormat="1" applyFont="1" applyFill="1" applyBorder="1" applyAlignment="1"/>
    <xf numFmtId="0" fontId="11" fillId="2" borderId="2" xfId="0" applyFont="1" applyFill="1" applyBorder="1" applyAlignment="1"/>
    <xf numFmtId="43" fontId="17" fillId="2" borderId="2" xfId="0" applyNumberFormat="1" applyFont="1" applyFill="1" applyBorder="1"/>
    <xf numFmtId="0" fontId="7" fillId="3" borderId="2" xfId="0" applyFont="1" applyFill="1" applyBorder="1" applyProtection="1">
      <protection locked="0"/>
    </xf>
    <xf numFmtId="43" fontId="7" fillId="2" borderId="2" xfId="0" applyNumberFormat="1" applyFont="1" applyFill="1" applyBorder="1" applyProtection="1"/>
    <xf numFmtId="43" fontId="7" fillId="2" borderId="2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/>
    <xf numFmtId="43" fontId="7" fillId="2" borderId="0" xfId="0" applyNumberFormat="1" applyFont="1" applyFill="1" applyBorder="1"/>
    <xf numFmtId="43" fontId="7" fillId="3" borderId="2" xfId="0" applyNumberFormat="1" applyFont="1" applyFill="1" applyBorder="1"/>
    <xf numFmtId="0" fontId="7" fillId="2" borderId="0" xfId="0" applyFont="1" applyFill="1" applyAlignment="1" applyProtection="1">
      <protection locked="0"/>
    </xf>
    <xf numFmtId="0" fontId="21" fillId="2" borderId="0" xfId="0" applyFont="1" applyFill="1" applyAlignment="1" applyProtection="1">
      <protection locked="0"/>
    </xf>
    <xf numFmtId="0" fontId="7" fillId="0" borderId="24" xfId="0" applyFont="1" applyBorder="1" applyAlignment="1" applyProtection="1">
      <alignment horizontal="left"/>
      <protection locked="0"/>
    </xf>
    <xf numFmtId="0" fontId="7" fillId="0" borderId="25" xfId="0" applyFont="1" applyBorder="1" applyAlignment="1" applyProtection="1">
      <alignment horizontal="left"/>
      <protection locked="0"/>
    </xf>
    <xf numFmtId="0" fontId="7" fillId="0" borderId="26" xfId="0" applyFont="1" applyBorder="1" applyAlignment="1" applyProtection="1">
      <alignment horizontal="left"/>
      <protection locked="0"/>
    </xf>
    <xf numFmtId="0" fontId="9" fillId="4" borderId="0" xfId="0" applyFont="1" applyFill="1" applyAlignment="1">
      <alignment horizontal="center"/>
    </xf>
  </cellXfs>
  <cellStyles count="7">
    <cellStyle name="Procent" xfId="6" builtinId="5"/>
    <cellStyle name="Procent 3" xfId="1" xr:uid="{00000000-0005-0000-0000-000000000000}"/>
    <cellStyle name="Standaard" xfId="0" builtinId="0"/>
    <cellStyle name="Standaard 2" xfId="2" xr:uid="{00000000-0005-0000-0000-000002000000}"/>
    <cellStyle name="Standaard 3" xfId="3" xr:uid="{00000000-0005-0000-0000-000003000000}"/>
    <cellStyle name="Standaard 4" xfId="4" xr:uid="{00000000-0005-0000-0000-000004000000}"/>
    <cellStyle name="Valuta" xfId="5" builtinId="4"/>
  </cellStyles>
  <dxfs count="0"/>
  <tableStyles count="0" defaultTableStyle="TableStyleMedium2" defaultPivotStyle="PivotStyleLight16"/>
  <colors>
    <mruColors>
      <color rgb="FF874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" dropStyle="combo" dx="22" fmlaLink="$E$37" fmlaRange="Berekeningen!$A$45:$A$46" noThreeD="1" sel="2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193040</xdr:colOff>
      <xdr:row>48</xdr:row>
      <xdr:rowOff>38100</xdr:rowOff>
    </xdr:from>
    <xdr:to>
      <xdr:col>5</xdr:col>
      <xdr:colOff>563879</xdr:colOff>
      <xdr:row>52</xdr:row>
      <xdr:rowOff>15240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732" r="3642" b="28169"/>
        <a:stretch/>
      </xdr:blipFill>
      <xdr:spPr>
        <a:xfrm>
          <a:off x="1605915" y="10118725"/>
          <a:ext cx="2654934" cy="679450"/>
        </a:xfrm>
        <a:prstGeom prst="rect">
          <a:avLst/>
        </a:prstGeom>
      </xdr:spPr>
    </xdr:pic>
    <xdr:clientData/>
  </xdr:twoCellAnchor>
  <xdr:twoCellAnchor editAs="oneCell">
    <xdr:from>
      <xdr:col>1</xdr:col>
      <xdr:colOff>638810</xdr:colOff>
      <xdr:row>0</xdr:row>
      <xdr:rowOff>0</xdr:rowOff>
    </xdr:from>
    <xdr:to>
      <xdr:col>5</xdr:col>
      <xdr:colOff>294639</xdr:colOff>
      <xdr:row>1</xdr:row>
      <xdr:rowOff>228600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732" r="3642" b="28169"/>
        <a:stretch/>
      </xdr:blipFill>
      <xdr:spPr>
        <a:xfrm>
          <a:off x="1321435" y="0"/>
          <a:ext cx="2663189" cy="65341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35</xdr:row>
          <xdr:rowOff>161925</xdr:rowOff>
        </xdr:from>
        <xdr:to>
          <xdr:col>3</xdr:col>
          <xdr:colOff>9525</xdr:colOff>
          <xdr:row>37</xdr:row>
          <xdr:rowOff>9525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</xdr:rowOff>
    </xdr:from>
    <xdr:to>
      <xdr:col>2</xdr:col>
      <xdr:colOff>702944</xdr:colOff>
      <xdr:row>0</xdr:row>
      <xdr:rowOff>668655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732" r="3642" b="28169"/>
        <a:stretch/>
      </xdr:blipFill>
      <xdr:spPr>
        <a:xfrm>
          <a:off x="1504950" y="9525"/>
          <a:ext cx="2668904" cy="6591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561976</xdr:colOff>
      <xdr:row>0</xdr:row>
      <xdr:rowOff>43816</xdr:rowOff>
    </xdr:from>
    <xdr:to>
      <xdr:col>7</xdr:col>
      <xdr:colOff>382905</xdr:colOff>
      <xdr:row>1</xdr:row>
      <xdr:rowOff>11431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732" r="3642" b="28169"/>
        <a:stretch/>
      </xdr:blipFill>
      <xdr:spPr>
        <a:xfrm>
          <a:off x="2428876" y="43816"/>
          <a:ext cx="2668904" cy="653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O71"/>
  <sheetViews>
    <sheetView showGridLines="0" tabSelected="1" zoomScale="145" zoomScaleNormal="145" workbookViewId="0">
      <selection activeCell="K66" sqref="K66"/>
    </sheetView>
  </sheetViews>
  <sheetFormatPr defaultColWidth="9.140625" defaultRowHeight="12.75" x14ac:dyDescent="0.2"/>
  <cols>
    <col min="1" max="1" width="10" style="10" bestFit="1" customWidth="1"/>
    <col min="2" max="2" width="10.7109375" style="10" customWidth="1"/>
    <col min="3" max="3" width="11.7109375" style="10" bestFit="1" customWidth="1"/>
    <col min="4" max="4" width="4.42578125" style="10" customWidth="1"/>
    <col min="5" max="5" width="17" style="10" customWidth="1"/>
    <col min="6" max="6" width="9.42578125" style="10" customWidth="1"/>
    <col min="7" max="7" width="2.140625" style="10" customWidth="1"/>
    <col min="8" max="8" width="15.7109375" style="36" customWidth="1"/>
    <col min="9" max="9" width="10.28515625" style="10" customWidth="1"/>
    <col min="10" max="10" width="13.28515625" style="10" customWidth="1"/>
    <col min="11" max="11" width="11" style="10" customWidth="1"/>
    <col min="12" max="12" width="9.85546875" style="10" customWidth="1"/>
    <col min="13" max="16384" width="9.140625" style="10"/>
  </cols>
  <sheetData>
    <row r="1" spans="1:10" ht="33.75" customHeight="1" x14ac:dyDescent="0.2"/>
    <row r="2" spans="1:10" ht="27.6" customHeight="1" x14ac:dyDescent="0.2"/>
    <row r="3" spans="1:10" ht="16.5" thickBot="1" x14ac:dyDescent="0.3">
      <c r="A3" s="44" t="s">
        <v>24</v>
      </c>
      <c r="B3" s="33"/>
      <c r="C3" s="33"/>
      <c r="D3" s="33"/>
      <c r="E3" s="33"/>
      <c r="F3" s="33"/>
      <c r="G3" s="33"/>
      <c r="H3" s="45"/>
      <c r="I3" s="33"/>
    </row>
    <row r="4" spans="1:10" ht="21.75" thickBot="1" x14ac:dyDescent="0.4">
      <c r="A4" s="40" t="s">
        <v>25</v>
      </c>
      <c r="B4" s="46">
        <v>2022</v>
      </c>
      <c r="C4" s="9"/>
      <c r="D4" s="9"/>
      <c r="E4" s="9" t="s">
        <v>79</v>
      </c>
      <c r="F4" s="86"/>
      <c r="G4" s="86"/>
      <c r="H4" s="86"/>
      <c r="I4" s="9"/>
    </row>
    <row r="5" spans="1:10" x14ac:dyDescent="0.2">
      <c r="A5" s="9"/>
      <c r="B5" s="9"/>
      <c r="C5" s="9"/>
      <c r="D5" s="9"/>
      <c r="E5" s="9"/>
      <c r="F5" s="9"/>
      <c r="G5" s="9"/>
      <c r="H5" s="41"/>
      <c r="I5" s="9"/>
    </row>
    <row r="6" spans="1:10" ht="26.25" x14ac:dyDescent="0.25">
      <c r="A6" s="42" t="s">
        <v>1</v>
      </c>
      <c r="B6" s="9"/>
      <c r="C6" s="9"/>
      <c r="D6" s="9"/>
      <c r="E6" s="43" t="s">
        <v>38</v>
      </c>
      <c r="F6" s="58" t="s">
        <v>82</v>
      </c>
      <c r="G6" s="9"/>
      <c r="H6" s="78" t="s">
        <v>87</v>
      </c>
      <c r="I6" s="9"/>
      <c r="J6" s="37"/>
    </row>
    <row r="7" spans="1:10" x14ac:dyDescent="0.2">
      <c r="A7" s="43" t="s">
        <v>10</v>
      </c>
      <c r="B7" s="9"/>
      <c r="C7" s="9"/>
      <c r="D7" s="9"/>
      <c r="E7" s="9"/>
      <c r="F7" s="9"/>
      <c r="G7" s="9"/>
      <c r="H7" s="41"/>
      <c r="I7" s="9"/>
      <c r="J7" s="37"/>
    </row>
    <row r="8" spans="1:10" x14ac:dyDescent="0.2">
      <c r="A8" s="144"/>
      <c r="B8" s="145"/>
      <c r="C8" s="145"/>
      <c r="D8" s="146"/>
      <c r="E8" s="38"/>
      <c r="F8" s="38"/>
      <c r="G8" s="9"/>
      <c r="H8" s="39">
        <v>0</v>
      </c>
      <c r="I8" s="9"/>
      <c r="J8" s="37"/>
    </row>
    <row r="9" spans="1:10" x14ac:dyDescent="0.2">
      <c r="A9" s="144"/>
      <c r="B9" s="145"/>
      <c r="C9" s="145"/>
      <c r="D9" s="146"/>
      <c r="E9" s="38"/>
      <c r="F9" s="38"/>
      <c r="G9" s="9"/>
      <c r="H9" s="39"/>
      <c r="I9" s="9"/>
      <c r="J9" s="37"/>
    </row>
    <row r="10" spans="1:10" x14ac:dyDescent="0.2">
      <c r="A10" s="144"/>
      <c r="B10" s="145"/>
      <c r="C10" s="145"/>
      <c r="D10" s="146"/>
      <c r="E10" s="38"/>
      <c r="F10" s="38"/>
      <c r="G10" s="9"/>
      <c r="H10" s="39"/>
      <c r="I10" s="9"/>
      <c r="J10" s="37"/>
    </row>
    <row r="11" spans="1:10" x14ac:dyDescent="0.2">
      <c r="A11" s="144"/>
      <c r="B11" s="145"/>
      <c r="C11" s="145"/>
      <c r="D11" s="146"/>
      <c r="E11" s="38"/>
      <c r="F11" s="38"/>
      <c r="G11" s="9"/>
      <c r="H11" s="39"/>
      <c r="I11" s="9"/>
      <c r="J11" s="37"/>
    </row>
    <row r="12" spans="1:10" x14ac:dyDescent="0.2">
      <c r="A12" s="144"/>
      <c r="B12" s="145"/>
      <c r="C12" s="145"/>
      <c r="D12" s="146"/>
      <c r="E12" s="38"/>
      <c r="F12" s="38"/>
      <c r="G12" s="9"/>
      <c r="H12" s="39"/>
      <c r="I12" s="9"/>
      <c r="J12" s="37"/>
    </row>
    <row r="13" spans="1:10" x14ac:dyDescent="0.2">
      <c r="A13" s="144"/>
      <c r="B13" s="145"/>
      <c r="C13" s="145"/>
      <c r="D13" s="146"/>
      <c r="E13" s="38"/>
      <c r="F13" s="38"/>
      <c r="G13" s="9"/>
      <c r="H13" s="39"/>
      <c r="I13" s="9"/>
      <c r="J13" s="37"/>
    </row>
    <row r="14" spans="1:10" x14ac:dyDescent="0.2">
      <c r="A14" s="144"/>
      <c r="B14" s="145"/>
      <c r="C14" s="145"/>
      <c r="D14" s="146"/>
      <c r="E14" s="38"/>
      <c r="F14" s="38"/>
      <c r="G14" s="9"/>
      <c r="H14" s="39"/>
      <c r="I14" s="9"/>
      <c r="J14" s="37"/>
    </row>
    <row r="15" spans="1:10" s="37" customFormat="1" x14ac:dyDescent="0.2">
      <c r="A15" s="81" t="s">
        <v>56</v>
      </c>
      <c r="B15" s="81"/>
      <c r="C15" s="81"/>
      <c r="D15" s="81"/>
      <c r="E15" s="81"/>
      <c r="F15" s="81"/>
      <c r="G15" s="81"/>
      <c r="H15" s="79"/>
      <c r="I15" s="43"/>
    </row>
    <row r="16" spans="1:10" x14ac:dyDescent="0.2">
      <c r="A16" s="87"/>
      <c r="B16" s="88"/>
      <c r="C16" s="88"/>
      <c r="D16" s="89"/>
      <c r="E16" s="77"/>
      <c r="F16" s="50"/>
      <c r="G16" s="9"/>
      <c r="H16" s="80"/>
      <c r="I16" s="9"/>
    </row>
    <row r="17" spans="1:12" x14ac:dyDescent="0.2">
      <c r="A17" s="87"/>
      <c r="B17" s="88"/>
      <c r="C17" s="88"/>
      <c r="D17" s="89"/>
      <c r="E17" s="77"/>
      <c r="F17" s="50"/>
      <c r="G17" s="9"/>
      <c r="H17" s="80"/>
      <c r="I17" s="9"/>
    </row>
    <row r="18" spans="1:12" x14ac:dyDescent="0.2">
      <c r="A18" s="43" t="s">
        <v>0</v>
      </c>
      <c r="B18" s="9"/>
      <c r="C18" s="9"/>
      <c r="D18" s="9"/>
      <c r="E18" s="9"/>
      <c r="F18" s="9"/>
      <c r="G18" s="9"/>
      <c r="H18" s="41"/>
      <c r="I18" s="9"/>
    </row>
    <row r="19" spans="1:12" x14ac:dyDescent="0.2">
      <c r="A19" s="84" t="s">
        <v>88</v>
      </c>
      <c r="B19" s="84"/>
      <c r="C19" s="84"/>
      <c r="D19" s="85"/>
      <c r="E19" s="39"/>
      <c r="F19" s="9"/>
      <c r="G19" s="9"/>
      <c r="H19" s="39"/>
      <c r="I19" s="9"/>
    </row>
    <row r="20" spans="1:12" x14ac:dyDescent="0.2">
      <c r="A20" s="75" t="s">
        <v>43</v>
      </c>
      <c r="B20" s="75"/>
      <c r="C20" s="75"/>
      <c r="D20" s="76"/>
      <c r="E20" s="38"/>
      <c r="F20" s="9"/>
      <c r="G20" s="9"/>
      <c r="H20" s="39"/>
      <c r="I20" s="9"/>
    </row>
    <row r="21" spans="1:12" x14ac:dyDescent="0.2">
      <c r="A21" s="84" t="s">
        <v>8</v>
      </c>
      <c r="B21" s="84"/>
      <c r="C21" s="84"/>
      <c r="D21" s="85"/>
      <c r="E21" s="38"/>
      <c r="F21" s="136"/>
      <c r="G21" s="9"/>
      <c r="H21" s="39"/>
      <c r="I21" s="9"/>
    </row>
    <row r="22" spans="1:12" x14ac:dyDescent="0.2">
      <c r="A22" s="84" t="s">
        <v>9</v>
      </c>
      <c r="B22" s="84"/>
      <c r="C22" s="84"/>
      <c r="D22" s="85"/>
      <c r="E22" s="38"/>
      <c r="F22" s="9"/>
      <c r="G22" s="9"/>
      <c r="H22" s="39"/>
      <c r="I22" s="9"/>
    </row>
    <row r="23" spans="1:12" x14ac:dyDescent="0.2">
      <c r="A23" s="84" t="s">
        <v>89</v>
      </c>
      <c r="B23" s="84"/>
      <c r="C23" s="84"/>
      <c r="D23" s="85"/>
      <c r="E23" s="38"/>
      <c r="F23" s="9"/>
      <c r="G23" s="9"/>
      <c r="H23" s="39"/>
      <c r="I23" s="9"/>
    </row>
    <row r="24" spans="1:12" x14ac:dyDescent="0.2">
      <c r="A24" s="84" t="s">
        <v>39</v>
      </c>
      <c r="B24" s="84"/>
      <c r="C24" s="84"/>
      <c r="D24" s="85"/>
      <c r="E24" s="38"/>
      <c r="F24" s="84"/>
      <c r="G24" s="84"/>
      <c r="H24" s="39"/>
      <c r="I24" s="9"/>
    </row>
    <row r="25" spans="1:12" x14ac:dyDescent="0.2">
      <c r="A25" s="84"/>
      <c r="B25" s="84"/>
      <c r="C25" s="84"/>
      <c r="D25" s="84"/>
      <c r="E25" s="59">
        <f>SUM(E8:E24)</f>
        <v>0</v>
      </c>
      <c r="F25" s="59"/>
      <c r="G25" s="9"/>
      <c r="H25" s="9"/>
      <c r="I25" s="9"/>
    </row>
    <row r="26" spans="1:12" x14ac:dyDescent="0.2">
      <c r="A26" s="81" t="s">
        <v>111</v>
      </c>
      <c r="B26" s="81"/>
      <c r="C26" s="81"/>
      <c r="D26" s="81"/>
      <c r="E26" s="131"/>
      <c r="F26" s="9" t="str">
        <f>"-/-"</f>
        <v>-/-</v>
      </c>
      <c r="G26" s="128"/>
      <c r="H26" s="129"/>
      <c r="I26" s="130"/>
      <c r="L26" s="10" t="s">
        <v>5</v>
      </c>
    </row>
    <row r="27" spans="1:12" s="37" customFormat="1" x14ac:dyDescent="0.2">
      <c r="A27" s="83" t="s">
        <v>120</v>
      </c>
      <c r="B27" s="83"/>
      <c r="C27" s="81"/>
      <c r="D27" s="81"/>
      <c r="E27" s="132">
        <f>SUM(E8:E24)-E26</f>
        <v>0</v>
      </c>
      <c r="F27" s="133">
        <f>SUM(F8:F24)</f>
        <v>0</v>
      </c>
      <c r="G27" s="134"/>
      <c r="H27" s="135">
        <f>SUM(H8:H24)</f>
        <v>0</v>
      </c>
      <c r="I27" s="43"/>
    </row>
    <row r="28" spans="1:12" s="37" customFormat="1" x14ac:dyDescent="0.2">
      <c r="A28" s="83"/>
      <c r="B28" s="83"/>
      <c r="C28" s="81"/>
      <c r="D28" s="81"/>
      <c r="E28" s="92"/>
      <c r="F28" s="90"/>
      <c r="G28" s="82"/>
      <c r="H28" s="93"/>
      <c r="I28" s="43"/>
    </row>
    <row r="29" spans="1:12" x14ac:dyDescent="0.2">
      <c r="A29" s="81" t="s">
        <v>2</v>
      </c>
      <c r="B29" s="81"/>
      <c r="C29" s="81"/>
      <c r="D29" s="81"/>
      <c r="E29" s="81"/>
      <c r="F29" s="81"/>
      <c r="G29" s="82"/>
      <c r="H29" s="47"/>
      <c r="I29" s="9"/>
    </row>
    <row r="30" spans="1:12" x14ac:dyDescent="0.2">
      <c r="A30" s="84" t="s">
        <v>41</v>
      </c>
      <c r="B30" s="84"/>
      <c r="C30" s="52">
        <f>Berekeningen!C26</f>
        <v>0.37069999999999997</v>
      </c>
      <c r="D30" s="53" t="s">
        <v>36</v>
      </c>
      <c r="E30" s="41">
        <f>E27</f>
        <v>0</v>
      </c>
      <c r="F30" s="9"/>
      <c r="G30" s="9"/>
      <c r="H30" s="49">
        <f>Berekeningen!G26</f>
        <v>0</v>
      </c>
      <c r="I30" s="9"/>
    </row>
    <row r="31" spans="1:12" x14ac:dyDescent="0.2">
      <c r="A31" s="9" t="str">
        <f>IF(Berekeningen!G27=0," ","Tweede schijf")</f>
        <v xml:space="preserve"> </v>
      </c>
      <c r="B31" s="9"/>
      <c r="C31" s="52" t="str">
        <f>IF(Berekeningen!G27=0," ",Berekeningen!C27)</f>
        <v xml:space="preserve"> </v>
      </c>
      <c r="D31" s="53" t="str">
        <f>IF(Berekeningen!$G27=0," ","van")</f>
        <v xml:space="preserve"> </v>
      </c>
      <c r="E31" s="12" t="str">
        <f>IF(Berekeningen!G27=0," ",Berekeningen!E27)</f>
        <v xml:space="preserve"> </v>
      </c>
      <c r="F31" s="9"/>
      <c r="G31" s="9"/>
      <c r="H31" s="49">
        <f>Berekeningen!G27</f>
        <v>0</v>
      </c>
      <c r="I31" s="9"/>
    </row>
    <row r="32" spans="1:12" x14ac:dyDescent="0.2">
      <c r="A32" s="9" t="str">
        <f>IF(Berekeningen!G28=0," ","Derde schijf")</f>
        <v xml:space="preserve"> </v>
      </c>
      <c r="B32" s="9"/>
      <c r="C32" s="52" t="str">
        <f>IF(Berekeningen!G28=0," ",Berekeningen!C28)</f>
        <v xml:space="preserve"> </v>
      </c>
      <c r="D32" s="53" t="str">
        <f>IF(Berekeningen!$G28=0," ","van")</f>
        <v xml:space="preserve"> </v>
      </c>
      <c r="E32" s="12" t="str">
        <f>IF(Berekeningen!G28=0," ",Berekeningen!E28)</f>
        <v xml:space="preserve"> </v>
      </c>
      <c r="F32" s="9" t="str">
        <f>IF(Berekeningen!$F$4=0," ","Totaal")</f>
        <v xml:space="preserve"> </v>
      </c>
      <c r="G32" s="9"/>
      <c r="H32" s="49">
        <f>Berekeningen!G28</f>
        <v>0</v>
      </c>
      <c r="I32" s="9"/>
    </row>
    <row r="33" spans="1:15" x14ac:dyDescent="0.2">
      <c r="A33" s="9" t="str">
        <f>IF(Berekeningen!G29=0," ","Vierde schijf")</f>
        <v xml:space="preserve"> </v>
      </c>
      <c r="B33" s="9"/>
      <c r="C33" s="52" t="str">
        <f>IF(Berekeningen!G29=0," ",Berekeningen!C29)</f>
        <v xml:space="preserve"> </v>
      </c>
      <c r="D33" s="53" t="str">
        <f>IF(Berekeningen!$G29=0," ","van")</f>
        <v xml:space="preserve"> </v>
      </c>
      <c r="E33" s="12" t="str">
        <f>IF(Berekeningen!G29=0," ",Berekeningen!E29)</f>
        <v xml:space="preserve"> </v>
      </c>
      <c r="F33" s="9" t="str">
        <f>IF(Berekeningen!$F$4=0," ","Totaal")</f>
        <v xml:space="preserve"> </v>
      </c>
      <c r="G33" s="9"/>
      <c r="H33" s="124">
        <f>Berekeningen!G29</f>
        <v>0</v>
      </c>
      <c r="I33" s="9"/>
      <c r="M33" s="11"/>
    </row>
    <row r="34" spans="1:15" x14ac:dyDescent="0.2">
      <c r="A34" s="43" t="s">
        <v>58</v>
      </c>
      <c r="B34" s="9"/>
      <c r="C34" s="9"/>
      <c r="D34" s="9"/>
      <c r="E34" s="9"/>
      <c r="F34" s="9"/>
      <c r="G34" s="9"/>
      <c r="H34" s="127">
        <f>SUM(H30:H33)</f>
        <v>0</v>
      </c>
      <c r="I34" s="9"/>
      <c r="M34" s="11"/>
    </row>
    <row r="35" spans="1:15" x14ac:dyDescent="0.2">
      <c r="A35" s="84" t="s">
        <v>55</v>
      </c>
      <c r="B35" s="84"/>
      <c r="C35" s="84"/>
      <c r="D35" s="84"/>
      <c r="E35" s="84"/>
      <c r="F35" s="84"/>
      <c r="G35" s="85"/>
      <c r="H35" s="49">
        <f>Berekeningen!G33</f>
        <v>2888</v>
      </c>
      <c r="I35" s="9"/>
      <c r="M35" s="11"/>
      <c r="O35" s="37"/>
    </row>
    <row r="36" spans="1:15" x14ac:dyDescent="0.2">
      <c r="A36" s="84" t="s">
        <v>3</v>
      </c>
      <c r="B36" s="84"/>
      <c r="C36" s="84"/>
      <c r="D36" s="84"/>
      <c r="E36" s="84"/>
      <c r="F36" s="84"/>
      <c r="G36" s="85"/>
      <c r="H36" s="47">
        <f>Berekeningen!I41</f>
        <v>0</v>
      </c>
      <c r="I36" s="9" t="str">
        <f>"+/+"</f>
        <v>+/+</v>
      </c>
    </row>
    <row r="37" spans="1:15" x14ac:dyDescent="0.2">
      <c r="A37" s="84" t="s">
        <v>116</v>
      </c>
      <c r="B37" s="84"/>
      <c r="C37" s="142"/>
      <c r="D37" s="84"/>
      <c r="E37" s="143">
        <v>2</v>
      </c>
      <c r="F37" s="84"/>
      <c r="G37" s="85"/>
      <c r="H37" s="137">
        <f>IF(E37=1,Berekeningen!I44,0)</f>
        <v>0</v>
      </c>
      <c r="I37" s="9" t="str">
        <f>"+/+"</f>
        <v>+/+</v>
      </c>
    </row>
    <row r="38" spans="1:15" x14ac:dyDescent="0.2">
      <c r="A38" s="84" t="s">
        <v>115</v>
      </c>
      <c r="B38" s="84"/>
      <c r="C38" s="84"/>
      <c r="D38" s="84"/>
      <c r="E38" s="84"/>
      <c r="F38" s="84"/>
      <c r="G38" s="85"/>
      <c r="H38" s="138">
        <f>IF(E23=0,0,Berekeningen!L14)</f>
        <v>0</v>
      </c>
      <c r="I38" s="9" t="str">
        <f>"+/+"</f>
        <v>+/+</v>
      </c>
    </row>
    <row r="39" spans="1:15" x14ac:dyDescent="0.2">
      <c r="A39" s="84" t="s">
        <v>119</v>
      </c>
      <c r="B39" s="84"/>
      <c r="C39" s="84"/>
      <c r="D39" s="84"/>
      <c r="E39" s="84"/>
      <c r="F39" s="84"/>
      <c r="G39" s="85"/>
      <c r="H39" s="126"/>
      <c r="I39" s="9"/>
    </row>
    <row r="40" spans="1:15" x14ac:dyDescent="0.2">
      <c r="A40" s="84" t="s">
        <v>4</v>
      </c>
      <c r="B40" s="84"/>
      <c r="C40" s="84"/>
      <c r="D40" s="84"/>
      <c r="E40" s="84"/>
      <c r="F40" s="84"/>
      <c r="G40" s="85"/>
      <c r="H40" s="48">
        <f>H35+H36+H37+H38+H39</f>
        <v>2888</v>
      </c>
      <c r="I40" s="9"/>
    </row>
    <row r="41" spans="1:15" x14ac:dyDescent="0.2">
      <c r="A41" s="9"/>
      <c r="B41" s="9"/>
      <c r="C41" s="9"/>
      <c r="D41" s="9"/>
      <c r="E41" s="9"/>
      <c r="F41" s="9"/>
      <c r="G41" s="9"/>
      <c r="H41" s="41"/>
      <c r="I41" s="9"/>
    </row>
    <row r="42" spans="1:15" x14ac:dyDescent="0.2">
      <c r="A42" s="43" t="s">
        <v>59</v>
      </c>
      <c r="B42" s="9"/>
      <c r="C42" s="9"/>
      <c r="D42" s="9"/>
      <c r="E42" s="9"/>
      <c r="F42" s="9"/>
      <c r="G42" s="9"/>
      <c r="H42" s="41"/>
      <c r="I42" s="9"/>
    </row>
    <row r="43" spans="1:15" x14ac:dyDescent="0.2">
      <c r="A43" s="84" t="s">
        <v>2</v>
      </c>
      <c r="B43" s="84"/>
      <c r="C43" s="84"/>
      <c r="D43" s="84"/>
      <c r="E43" s="84"/>
      <c r="F43" s="84"/>
      <c r="G43" s="85"/>
      <c r="H43" s="49">
        <f>H34</f>
        <v>0</v>
      </c>
      <c r="I43" s="9" t="str">
        <f>"+/+"</f>
        <v>+/+</v>
      </c>
    </row>
    <row r="44" spans="1:15" x14ac:dyDescent="0.2">
      <c r="A44" s="84" t="s">
        <v>42</v>
      </c>
      <c r="B44" s="84"/>
      <c r="C44" s="84"/>
      <c r="D44" s="84"/>
      <c r="E44" s="84"/>
      <c r="F44" s="84"/>
      <c r="G44" s="85"/>
      <c r="H44" s="48">
        <f>H40</f>
        <v>2888</v>
      </c>
      <c r="I44" s="9" t="str">
        <f>"-/-"</f>
        <v>-/-</v>
      </c>
    </row>
    <row r="45" spans="1:15" x14ac:dyDescent="0.2">
      <c r="A45" s="9"/>
      <c r="B45" s="9"/>
      <c r="C45" s="9"/>
      <c r="D45" s="9"/>
      <c r="E45" s="9"/>
      <c r="F45" s="9"/>
      <c r="G45" s="9"/>
      <c r="H45" s="54">
        <f>IF(H43-H44&lt;0,0,H43-H44)</f>
        <v>0</v>
      </c>
      <c r="I45" s="9"/>
    </row>
    <row r="46" spans="1:15" x14ac:dyDescent="0.2">
      <c r="A46" s="31" t="s">
        <v>78</v>
      </c>
      <c r="B46" s="9"/>
      <c r="C46" s="9"/>
      <c r="D46" s="9"/>
      <c r="E46" s="9"/>
      <c r="F46" s="9"/>
      <c r="G46" s="9"/>
      <c r="H46" s="50"/>
      <c r="I46" s="9"/>
    </row>
    <row r="47" spans="1:15" x14ac:dyDescent="0.2">
      <c r="A47" s="35"/>
      <c r="B47" s="34"/>
      <c r="C47" s="34"/>
      <c r="D47" s="34"/>
      <c r="E47" s="34"/>
      <c r="F47" s="34"/>
      <c r="G47" s="34"/>
      <c r="H47" s="51"/>
      <c r="I47" s="34"/>
    </row>
    <row r="48" spans="1:15" x14ac:dyDescent="0.2">
      <c r="H48" s="10"/>
    </row>
    <row r="49" spans="1:9" x14ac:dyDescent="0.2">
      <c r="H49" s="10"/>
    </row>
    <row r="50" spans="1:9" x14ac:dyDescent="0.2">
      <c r="H50" s="10"/>
    </row>
    <row r="51" spans="1:9" x14ac:dyDescent="0.2">
      <c r="H51" s="10"/>
    </row>
    <row r="52" spans="1:9" x14ac:dyDescent="0.2">
      <c r="H52" s="10"/>
    </row>
    <row r="53" spans="1:9" x14ac:dyDescent="0.2">
      <c r="A53" s="9"/>
      <c r="B53" s="9"/>
      <c r="C53" s="9"/>
      <c r="D53" s="9"/>
      <c r="E53" s="9"/>
      <c r="F53" s="9"/>
      <c r="G53" s="9"/>
      <c r="H53" s="50"/>
      <c r="I53" s="9"/>
    </row>
    <row r="54" spans="1:9" x14ac:dyDescent="0.2">
      <c r="A54" s="9"/>
      <c r="B54" s="9"/>
      <c r="C54" s="9"/>
      <c r="D54" s="9"/>
      <c r="E54" s="9"/>
      <c r="F54" s="9"/>
      <c r="G54" s="9"/>
      <c r="H54" s="41"/>
      <c r="I54" s="9"/>
    </row>
    <row r="55" spans="1:9" x14ac:dyDescent="0.2">
      <c r="A55" s="43" t="s">
        <v>6</v>
      </c>
      <c r="B55" s="9"/>
      <c r="C55" s="9"/>
      <c r="D55" s="9"/>
      <c r="E55" s="9"/>
      <c r="F55" s="9"/>
      <c r="G55" s="9"/>
      <c r="H55" s="41"/>
      <c r="I55" s="9"/>
    </row>
    <row r="56" spans="1:9" x14ac:dyDescent="0.2">
      <c r="A56" s="84" t="s">
        <v>57</v>
      </c>
      <c r="B56" s="84"/>
      <c r="C56" s="84"/>
      <c r="D56" s="84"/>
      <c r="E56" s="84"/>
      <c r="F56" s="84"/>
      <c r="G56" s="85"/>
      <c r="H56" s="49">
        <f>H45</f>
        <v>0</v>
      </c>
      <c r="I56" s="9"/>
    </row>
    <row r="57" spans="1:9" x14ac:dyDescent="0.2">
      <c r="A57" s="84" t="s">
        <v>11</v>
      </c>
      <c r="B57" s="84"/>
      <c r="C57" s="84"/>
      <c r="D57" s="84"/>
      <c r="E57" s="84"/>
      <c r="F57" s="84"/>
      <c r="G57" s="85"/>
      <c r="H57" s="48">
        <f>H27</f>
        <v>0</v>
      </c>
      <c r="I57" s="9"/>
    </row>
    <row r="58" spans="1:9" x14ac:dyDescent="0.2">
      <c r="A58" s="84" t="s">
        <v>7</v>
      </c>
      <c r="B58" s="84"/>
      <c r="C58" s="84"/>
      <c r="D58" s="84"/>
      <c r="E58" s="84"/>
      <c r="F58" s="84"/>
      <c r="G58" s="85"/>
      <c r="H58" s="47">
        <f>H56-H57</f>
        <v>0</v>
      </c>
      <c r="I58" s="9"/>
    </row>
    <row r="59" spans="1:9" x14ac:dyDescent="0.2">
      <c r="A59" s="84" t="s">
        <v>37</v>
      </c>
      <c r="B59" s="84"/>
      <c r="C59" s="84"/>
      <c r="D59" s="84"/>
      <c r="E59" s="84"/>
      <c r="F59" s="84"/>
      <c r="G59" s="85"/>
      <c r="H59" s="39"/>
      <c r="I59" s="9"/>
    </row>
    <row r="60" spans="1:9" x14ac:dyDescent="0.2">
      <c r="A60" s="84" t="str">
        <f>IF(H60&lt;0,"Te ontvangen of te verrekenen","Te betalen")</f>
        <v>Te betalen</v>
      </c>
      <c r="B60" s="84"/>
      <c r="C60" s="84"/>
      <c r="D60" s="84"/>
      <c r="E60" s="84"/>
      <c r="F60" s="84"/>
      <c r="G60" s="85"/>
      <c r="H60" s="48">
        <f>SUM(H58:H59)</f>
        <v>0</v>
      </c>
      <c r="I60" s="9"/>
    </row>
    <row r="61" spans="1:9" x14ac:dyDescent="0.2">
      <c r="A61" s="9"/>
      <c r="B61" s="9"/>
      <c r="C61" s="9"/>
      <c r="D61" s="9"/>
      <c r="E61" s="9"/>
      <c r="F61" s="9"/>
      <c r="G61" s="9"/>
      <c r="H61" s="41"/>
      <c r="I61" s="9"/>
    </row>
    <row r="62" spans="1:9" x14ac:dyDescent="0.2">
      <c r="A62" s="43" t="s">
        <v>121</v>
      </c>
      <c r="B62" s="9"/>
      <c r="C62" s="9"/>
      <c r="D62" s="9"/>
      <c r="E62" s="9"/>
      <c r="F62" s="9"/>
      <c r="G62" s="9"/>
      <c r="H62" s="41"/>
      <c r="I62" s="9"/>
    </row>
    <row r="63" spans="1:9" x14ac:dyDescent="0.2">
      <c r="A63" s="84" t="s">
        <v>122</v>
      </c>
      <c r="B63" s="84"/>
      <c r="C63" s="84"/>
      <c r="D63" s="84"/>
      <c r="E63" s="84"/>
      <c r="F63" s="84"/>
      <c r="G63" s="139"/>
      <c r="H63" s="140"/>
      <c r="I63" s="9"/>
    </row>
    <row r="64" spans="1:9" x14ac:dyDescent="0.2">
      <c r="A64" s="84" t="s">
        <v>34</v>
      </c>
      <c r="B64" s="84"/>
      <c r="C64" s="84"/>
      <c r="D64" s="84"/>
      <c r="E64" s="84"/>
      <c r="F64" s="84"/>
      <c r="G64" s="85"/>
      <c r="H64" s="141">
        <f>'Gekorte Heffingskortingen'!B19</f>
        <v>0</v>
      </c>
      <c r="I64" s="9"/>
    </row>
    <row r="65" spans="1:9" x14ac:dyDescent="0.2">
      <c r="A65" s="84" t="s">
        <v>40</v>
      </c>
      <c r="B65" s="84"/>
      <c r="C65" s="84"/>
      <c r="D65" s="84"/>
      <c r="E65" s="84"/>
      <c r="F65" s="84"/>
      <c r="G65" s="85"/>
      <c r="H65" s="141">
        <f>'Gekorte Heffingskortingen'!C19</f>
        <v>0</v>
      </c>
      <c r="I65" s="9"/>
    </row>
    <row r="66" spans="1:9" x14ac:dyDescent="0.2">
      <c r="A66" s="9"/>
      <c r="B66" s="9"/>
      <c r="C66" s="9"/>
      <c r="D66" s="9"/>
      <c r="E66" s="9"/>
      <c r="F66" s="9"/>
      <c r="G66" s="9"/>
      <c r="H66" s="48">
        <f>SUM(H63:H65)</f>
        <v>0</v>
      </c>
      <c r="I66" s="9"/>
    </row>
    <row r="67" spans="1:9" x14ac:dyDescent="0.2">
      <c r="A67" s="9"/>
      <c r="B67" s="9"/>
      <c r="C67" s="9"/>
      <c r="D67" s="9"/>
      <c r="E67" s="9"/>
      <c r="F67" s="9"/>
      <c r="G67" s="9"/>
      <c r="H67" s="41"/>
      <c r="I67" s="9"/>
    </row>
    <row r="68" spans="1:9" ht="19.5" thickBot="1" x14ac:dyDescent="0.35">
      <c r="A68" s="55" t="str">
        <f>IF(H68&lt;0,"Te ontvangen door gemeente","Nabetalen door gemeente")</f>
        <v>Nabetalen door gemeente</v>
      </c>
      <c r="B68" s="56"/>
      <c r="C68" s="56"/>
      <c r="D68" s="56"/>
      <c r="E68" s="56"/>
      <c r="F68" s="56"/>
      <c r="G68" s="56"/>
      <c r="H68" s="57">
        <f>SUM(H66,H58)</f>
        <v>0</v>
      </c>
      <c r="I68" s="9"/>
    </row>
    <row r="69" spans="1:9" ht="13.5" thickTop="1" x14ac:dyDescent="0.2">
      <c r="A69" s="9"/>
      <c r="B69" s="9"/>
      <c r="C69" s="9"/>
      <c r="D69" s="9"/>
      <c r="E69" s="9"/>
      <c r="F69" s="9"/>
      <c r="G69" s="9"/>
      <c r="H69" s="41"/>
      <c r="I69" s="9"/>
    </row>
    <row r="70" spans="1:9" x14ac:dyDescent="0.2">
      <c r="A70" s="31" t="s">
        <v>78</v>
      </c>
      <c r="B70" s="9"/>
      <c r="C70" s="9"/>
      <c r="D70" s="9"/>
      <c r="E70" s="9"/>
      <c r="F70" s="9"/>
      <c r="G70" s="9"/>
      <c r="H70" s="41"/>
      <c r="I70" s="9"/>
    </row>
    <row r="71" spans="1:9" x14ac:dyDescent="0.2">
      <c r="A71" s="31"/>
      <c r="B71" s="9"/>
      <c r="C71" s="9"/>
      <c r="D71" s="9"/>
      <c r="E71" s="9"/>
      <c r="F71" s="9"/>
      <c r="G71" s="9"/>
      <c r="H71" s="9"/>
      <c r="I71" s="9"/>
    </row>
  </sheetData>
  <sheetProtection algorithmName="SHA-512" hashValue="zW4WJv/msZ6Nou8VUFolc382vUp9cs6EqpKG31YfM81N72qQFOp/f1wpkx1R7udjT4+DSZBLkPL31vWp9nqigQ==" saltValue="YLl4khl0YmSE3kfqQqFV1g==" spinCount="100000" sheet="1" objects="1" scenarios="1"/>
  <mergeCells count="7">
    <mergeCell ref="A8:D8"/>
    <mergeCell ref="A13:D13"/>
    <mergeCell ref="A14:D14"/>
    <mergeCell ref="A11:D11"/>
    <mergeCell ref="A12:D12"/>
    <mergeCell ref="A9:D9"/>
    <mergeCell ref="A10:D10"/>
  </mergeCells>
  <phoneticPr fontId="1" type="noConversion"/>
  <pageMargins left="0.74803149606299213" right="0.74803149606299213" top="0.78740157480314965" bottom="0.78740157480314965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0" r:id="rId4" name="Drop Down 36">
              <controlPr defaultSize="0" autoLine="0" autoPict="0">
                <anchor moveWithCells="1">
                  <from>
                    <xdr:col>2</xdr:col>
                    <xdr:colOff>104775</xdr:colOff>
                    <xdr:row>35</xdr:row>
                    <xdr:rowOff>161925</xdr:rowOff>
                  </from>
                  <to>
                    <xdr:col>3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D55"/>
  <sheetViews>
    <sheetView showGridLines="0" workbookViewId="0">
      <selection activeCell="G21" sqref="G21"/>
    </sheetView>
  </sheetViews>
  <sheetFormatPr defaultColWidth="9.140625" defaultRowHeight="12.75" x14ac:dyDescent="0.2"/>
  <cols>
    <col min="1" max="1" width="9.140625" style="1"/>
    <col min="2" max="2" width="28.28515625" style="1" customWidth="1"/>
    <col min="3" max="3" width="36.7109375" style="1" customWidth="1"/>
    <col min="4" max="4" width="10.28515625" style="1" customWidth="1"/>
    <col min="5" max="16384" width="9.140625" style="1"/>
  </cols>
  <sheetData>
    <row r="1" spans="1:4" ht="54.6" customHeight="1" x14ac:dyDescent="0.2"/>
    <row r="2" spans="1:4" ht="15" customHeight="1" x14ac:dyDescent="0.2">
      <c r="A2" s="32"/>
      <c r="B2" s="32"/>
      <c r="C2" s="32"/>
      <c r="D2" s="32"/>
    </row>
    <row r="3" spans="1:4" ht="15" customHeight="1" x14ac:dyDescent="0.35">
      <c r="A3" s="147" t="s">
        <v>30</v>
      </c>
      <c r="B3" s="147"/>
      <c r="C3" s="147"/>
      <c r="D3" s="61">
        <f>'Voorlopige_Definitieve aanslag'!$B$4</f>
        <v>2022</v>
      </c>
    </row>
    <row r="4" spans="1:4" ht="74.25" customHeight="1" thickBot="1" x14ac:dyDescent="0.25">
      <c r="A4" s="34"/>
      <c r="B4" s="34"/>
      <c r="C4" s="34"/>
      <c r="D4" s="32"/>
    </row>
    <row r="5" spans="1:4" s="63" customFormat="1" ht="28.5" customHeight="1" thickTop="1" thickBot="1" x14ac:dyDescent="0.25">
      <c r="A5" s="64" t="s">
        <v>31</v>
      </c>
      <c r="B5" s="66" t="s">
        <v>83</v>
      </c>
      <c r="C5" s="67" t="s">
        <v>84</v>
      </c>
      <c r="D5" s="62"/>
    </row>
    <row r="6" spans="1:4" ht="15" customHeight="1" thickTop="1" x14ac:dyDescent="0.2">
      <c r="A6" s="65" t="s">
        <v>12</v>
      </c>
      <c r="B6" s="68">
        <v>0</v>
      </c>
      <c r="C6" s="69">
        <v>0</v>
      </c>
      <c r="D6" s="32"/>
    </row>
    <row r="7" spans="1:4" ht="15" customHeight="1" x14ac:dyDescent="0.2">
      <c r="A7" s="65" t="s">
        <v>13</v>
      </c>
      <c r="B7" s="68">
        <v>0</v>
      </c>
      <c r="C7" s="69">
        <v>0</v>
      </c>
      <c r="D7" s="32"/>
    </row>
    <row r="8" spans="1:4" ht="15" customHeight="1" x14ac:dyDescent="0.2">
      <c r="A8" s="65" t="s">
        <v>14</v>
      </c>
      <c r="B8" s="68">
        <v>0</v>
      </c>
      <c r="C8" s="69">
        <v>0</v>
      </c>
      <c r="D8" s="32"/>
    </row>
    <row r="9" spans="1:4" ht="15" customHeight="1" x14ac:dyDescent="0.2">
      <c r="A9" s="65" t="s">
        <v>15</v>
      </c>
      <c r="B9" s="68">
        <v>0</v>
      </c>
      <c r="C9" s="69">
        <v>0</v>
      </c>
      <c r="D9" s="32"/>
    </row>
    <row r="10" spans="1:4" ht="15" customHeight="1" x14ac:dyDescent="0.2">
      <c r="A10" s="65" t="s">
        <v>16</v>
      </c>
      <c r="B10" s="68">
        <v>0</v>
      </c>
      <c r="C10" s="69">
        <v>0</v>
      </c>
      <c r="D10" s="32"/>
    </row>
    <row r="11" spans="1:4" ht="15" customHeight="1" x14ac:dyDescent="0.2">
      <c r="A11" s="65" t="s">
        <v>17</v>
      </c>
      <c r="B11" s="68">
        <v>0</v>
      </c>
      <c r="C11" s="69">
        <v>0</v>
      </c>
      <c r="D11" s="32"/>
    </row>
    <row r="12" spans="1:4" ht="15" customHeight="1" x14ac:dyDescent="0.2">
      <c r="A12" s="65" t="s">
        <v>18</v>
      </c>
      <c r="B12" s="68">
        <v>0</v>
      </c>
      <c r="C12" s="69">
        <v>0</v>
      </c>
      <c r="D12" s="32"/>
    </row>
    <row r="13" spans="1:4" ht="15" customHeight="1" x14ac:dyDescent="0.2">
      <c r="A13" s="65" t="s">
        <v>19</v>
      </c>
      <c r="B13" s="68">
        <v>0</v>
      </c>
      <c r="C13" s="69">
        <v>0</v>
      </c>
      <c r="D13" s="32"/>
    </row>
    <row r="14" spans="1:4" ht="15" customHeight="1" x14ac:dyDescent="0.2">
      <c r="A14" s="65" t="s">
        <v>20</v>
      </c>
      <c r="B14" s="68">
        <v>0</v>
      </c>
      <c r="C14" s="69">
        <v>0</v>
      </c>
      <c r="D14" s="32"/>
    </row>
    <row r="15" spans="1:4" ht="15" customHeight="1" x14ac:dyDescent="0.2">
      <c r="A15" s="65" t="s">
        <v>21</v>
      </c>
      <c r="B15" s="68">
        <v>0</v>
      </c>
      <c r="C15" s="69">
        <v>0</v>
      </c>
      <c r="D15" s="32"/>
    </row>
    <row r="16" spans="1:4" ht="15" customHeight="1" x14ac:dyDescent="0.2">
      <c r="A16" s="65" t="s">
        <v>22</v>
      </c>
      <c r="B16" s="68">
        <v>0</v>
      </c>
      <c r="C16" s="69">
        <v>0</v>
      </c>
      <c r="D16" s="32"/>
    </row>
    <row r="17" spans="1:4" ht="15" customHeight="1" x14ac:dyDescent="0.2">
      <c r="A17" s="65" t="s">
        <v>23</v>
      </c>
      <c r="B17" s="68">
        <v>0</v>
      </c>
      <c r="C17" s="69">
        <v>0</v>
      </c>
      <c r="D17" s="32"/>
    </row>
    <row r="18" spans="1:4" ht="15" customHeight="1" thickBot="1" x14ac:dyDescent="0.25">
      <c r="A18" s="65" t="s">
        <v>32</v>
      </c>
      <c r="B18" s="70"/>
      <c r="C18" s="71"/>
      <c r="D18" s="32"/>
    </row>
    <row r="19" spans="1:4" ht="15" customHeight="1" thickBot="1" x14ac:dyDescent="0.25">
      <c r="A19" s="72" t="s">
        <v>33</v>
      </c>
      <c r="B19" s="73">
        <f>SUM(B6:B18)</f>
        <v>0</v>
      </c>
      <c r="C19" s="74">
        <f>SUM(C6:C18)</f>
        <v>0</v>
      </c>
      <c r="D19" s="32"/>
    </row>
    <row r="20" spans="1:4" ht="13.5" thickTop="1" x14ac:dyDescent="0.2">
      <c r="A20" s="34"/>
      <c r="B20" s="34"/>
      <c r="C20" s="34"/>
      <c r="D20" s="32"/>
    </row>
    <row r="21" spans="1:4" ht="53.25" customHeight="1" x14ac:dyDescent="0.2">
      <c r="A21" s="34"/>
      <c r="B21" s="34"/>
      <c r="C21" s="34"/>
      <c r="D21" s="32"/>
    </row>
    <row r="22" spans="1:4" x14ac:dyDescent="0.2">
      <c r="A22" s="35" t="s">
        <v>78</v>
      </c>
      <c r="B22" s="34"/>
      <c r="C22" s="34"/>
      <c r="D22" s="32"/>
    </row>
    <row r="23" spans="1:4" x14ac:dyDescent="0.2">
      <c r="A23" s="35"/>
      <c r="B23" s="34"/>
      <c r="C23" s="34"/>
      <c r="D23" s="32"/>
    </row>
    <row r="24" spans="1:4" x14ac:dyDescent="0.2">
      <c r="A24" s="34"/>
      <c r="B24" s="34"/>
      <c r="C24" s="34"/>
      <c r="D24" s="32"/>
    </row>
    <row r="25" spans="1:4" x14ac:dyDescent="0.2">
      <c r="A25" s="32"/>
      <c r="B25" s="32"/>
      <c r="C25" s="32"/>
      <c r="D25" s="32"/>
    </row>
    <row r="26" spans="1:4" x14ac:dyDescent="0.2">
      <c r="A26" s="32"/>
      <c r="B26" s="32"/>
      <c r="C26" s="32"/>
      <c r="D26" s="32"/>
    </row>
    <row r="27" spans="1:4" x14ac:dyDescent="0.2">
      <c r="A27" s="32"/>
      <c r="B27" s="32"/>
      <c r="C27" s="32"/>
      <c r="D27" s="32"/>
    </row>
    <row r="28" spans="1:4" x14ac:dyDescent="0.2">
      <c r="A28" s="32"/>
      <c r="B28" s="32"/>
      <c r="C28" s="32"/>
      <c r="D28" s="32"/>
    </row>
    <row r="29" spans="1:4" x14ac:dyDescent="0.2">
      <c r="A29" s="32"/>
      <c r="B29" s="32"/>
      <c r="C29" s="32"/>
      <c r="D29" s="32"/>
    </row>
    <row r="30" spans="1:4" x14ac:dyDescent="0.2">
      <c r="A30" s="32"/>
      <c r="B30" s="32"/>
      <c r="C30" s="32"/>
      <c r="D30" s="32"/>
    </row>
    <row r="31" spans="1:4" x14ac:dyDescent="0.2">
      <c r="A31" s="32"/>
      <c r="B31" s="32"/>
      <c r="C31" s="32"/>
      <c r="D31" s="32"/>
    </row>
    <row r="32" spans="1:4" x14ac:dyDescent="0.2">
      <c r="A32" s="32"/>
      <c r="B32" s="32"/>
      <c r="C32" s="32"/>
      <c r="D32" s="32"/>
    </row>
    <row r="33" spans="1:4" x14ac:dyDescent="0.2">
      <c r="A33" s="32"/>
      <c r="B33" s="32"/>
      <c r="C33" s="32"/>
      <c r="D33" s="32"/>
    </row>
    <row r="34" spans="1:4" x14ac:dyDescent="0.2">
      <c r="A34" s="32"/>
      <c r="B34" s="32"/>
      <c r="C34" s="32"/>
      <c r="D34" s="32"/>
    </row>
    <row r="35" spans="1:4" x14ac:dyDescent="0.2">
      <c r="A35" s="32"/>
      <c r="B35" s="32"/>
      <c r="C35" s="32"/>
      <c r="D35" s="32"/>
    </row>
    <row r="36" spans="1:4" x14ac:dyDescent="0.2">
      <c r="A36" s="32"/>
      <c r="B36" s="32"/>
      <c r="C36" s="32"/>
      <c r="D36" s="32"/>
    </row>
    <row r="37" spans="1:4" x14ac:dyDescent="0.2">
      <c r="A37" s="32"/>
      <c r="B37" s="32"/>
      <c r="C37" s="32"/>
      <c r="D37" s="32"/>
    </row>
    <row r="38" spans="1:4" x14ac:dyDescent="0.2">
      <c r="A38" s="32"/>
      <c r="B38" s="32"/>
      <c r="C38" s="32"/>
      <c r="D38" s="32"/>
    </row>
    <row r="39" spans="1:4" x14ac:dyDescent="0.2">
      <c r="A39" s="32"/>
      <c r="B39" s="32"/>
      <c r="C39" s="32"/>
      <c r="D39" s="32"/>
    </row>
    <row r="40" spans="1:4" x14ac:dyDescent="0.2">
      <c r="A40" s="32"/>
      <c r="B40" s="32"/>
      <c r="C40" s="32"/>
      <c r="D40" s="32"/>
    </row>
    <row r="41" spans="1:4" x14ac:dyDescent="0.2">
      <c r="A41" s="32"/>
      <c r="B41" s="32"/>
      <c r="C41" s="32"/>
      <c r="D41" s="32"/>
    </row>
    <row r="42" spans="1:4" x14ac:dyDescent="0.2">
      <c r="A42" s="32"/>
      <c r="B42" s="32"/>
      <c r="C42" s="32"/>
      <c r="D42" s="32"/>
    </row>
    <row r="43" spans="1:4" x14ac:dyDescent="0.2">
      <c r="A43" s="32"/>
      <c r="B43" s="32"/>
      <c r="C43" s="32"/>
      <c r="D43" s="32"/>
    </row>
    <row r="44" spans="1:4" x14ac:dyDescent="0.2">
      <c r="A44" s="32"/>
      <c r="B44" s="32"/>
      <c r="C44" s="32"/>
      <c r="D44" s="32"/>
    </row>
    <row r="45" spans="1:4" x14ac:dyDescent="0.2">
      <c r="A45" s="32"/>
      <c r="B45" s="32"/>
      <c r="C45" s="32"/>
      <c r="D45" s="32"/>
    </row>
    <row r="46" spans="1:4" x14ac:dyDescent="0.2">
      <c r="A46" s="32"/>
      <c r="B46" s="32"/>
      <c r="C46" s="32"/>
      <c r="D46" s="32"/>
    </row>
    <row r="47" spans="1:4" x14ac:dyDescent="0.2">
      <c r="A47" s="32"/>
      <c r="B47" s="32"/>
      <c r="C47" s="32"/>
      <c r="D47" s="32"/>
    </row>
    <row r="48" spans="1:4" x14ac:dyDescent="0.2">
      <c r="A48" s="32"/>
      <c r="B48" s="32"/>
      <c r="C48" s="32"/>
      <c r="D48" s="32"/>
    </row>
    <row r="49" spans="1:4" x14ac:dyDescent="0.2">
      <c r="A49" s="32"/>
      <c r="B49" s="32"/>
      <c r="C49" s="32"/>
      <c r="D49" s="32"/>
    </row>
    <row r="50" spans="1:4" x14ac:dyDescent="0.2">
      <c r="A50" s="32"/>
      <c r="B50" s="32"/>
      <c r="C50" s="32"/>
      <c r="D50" s="32"/>
    </row>
    <row r="51" spans="1:4" x14ac:dyDescent="0.2">
      <c r="A51" s="32"/>
      <c r="B51" s="32"/>
      <c r="C51" s="32"/>
      <c r="D51" s="32"/>
    </row>
    <row r="52" spans="1:4" x14ac:dyDescent="0.2">
      <c r="A52" s="32"/>
      <c r="B52" s="32"/>
      <c r="C52" s="32"/>
      <c r="D52" s="32"/>
    </row>
    <row r="53" spans="1:4" x14ac:dyDescent="0.2">
      <c r="A53" s="32"/>
      <c r="B53" s="32"/>
      <c r="C53" s="32"/>
      <c r="D53" s="32"/>
    </row>
    <row r="54" spans="1:4" x14ac:dyDescent="0.2">
      <c r="A54" s="32"/>
      <c r="B54" s="32"/>
      <c r="C54" s="32"/>
      <c r="D54" s="32"/>
    </row>
    <row r="55" spans="1:4" x14ac:dyDescent="0.2">
      <c r="A55" s="32"/>
      <c r="B55" s="32"/>
      <c r="C55" s="32"/>
      <c r="D55" s="32"/>
    </row>
  </sheetData>
  <mergeCells count="1">
    <mergeCell ref="A3:C3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N62"/>
  <sheetViews>
    <sheetView showGridLines="0" topLeftCell="A4" workbookViewId="0">
      <selection activeCell="A25" sqref="A25:XFD39"/>
    </sheetView>
  </sheetViews>
  <sheetFormatPr defaultColWidth="9.140625" defaultRowHeight="12.75" x14ac:dyDescent="0.2"/>
  <cols>
    <col min="1" max="1" width="9.140625" style="10"/>
    <col min="2" max="2" width="8.85546875" style="11" customWidth="1"/>
    <col min="3" max="4" width="9.140625" style="10"/>
    <col min="5" max="5" width="13.42578125" style="10" customWidth="1"/>
    <col min="6" max="6" width="8.42578125" style="11" customWidth="1"/>
    <col min="7" max="9" width="10.28515625" style="11" customWidth="1"/>
    <col min="10" max="16384" width="9.140625" style="10"/>
  </cols>
  <sheetData>
    <row r="1" spans="1:13" ht="54" customHeight="1" x14ac:dyDescent="0.2"/>
    <row r="2" spans="1:13" x14ac:dyDescent="0.2">
      <c r="A2" s="9"/>
      <c r="B2" s="12"/>
      <c r="C2" s="9"/>
      <c r="D2" s="9"/>
      <c r="E2" s="9"/>
      <c r="F2" s="12"/>
      <c r="G2" s="12"/>
      <c r="H2" s="12"/>
      <c r="I2" s="12"/>
      <c r="J2" s="9"/>
      <c r="K2" s="9"/>
    </row>
    <row r="3" spans="1:13" ht="13.5" thickBot="1" x14ac:dyDescent="0.25">
      <c r="A3" s="9" t="s">
        <v>44</v>
      </c>
      <c r="B3" s="12"/>
      <c r="C3" s="9"/>
      <c r="D3" s="9"/>
      <c r="E3" s="9"/>
      <c r="F3" s="12"/>
      <c r="G3" s="12"/>
      <c r="H3" s="12"/>
      <c r="I3" s="12"/>
      <c r="J3" s="9"/>
      <c r="K3" s="9"/>
    </row>
    <row r="4" spans="1:13" ht="13.5" thickBot="1" x14ac:dyDescent="0.25">
      <c r="A4" s="13"/>
      <c r="B4" s="14" t="s">
        <v>26</v>
      </c>
      <c r="C4" s="15" t="s">
        <v>29</v>
      </c>
      <c r="D4" s="15" t="s">
        <v>27</v>
      </c>
      <c r="E4" s="16" t="s">
        <v>27</v>
      </c>
      <c r="F4" s="15" t="s">
        <v>28</v>
      </c>
      <c r="G4" s="15" t="s">
        <v>29</v>
      </c>
      <c r="H4" s="16" t="s">
        <v>27</v>
      </c>
      <c r="I4" s="9"/>
      <c r="J4" s="17"/>
      <c r="K4" s="17"/>
      <c r="L4" s="9"/>
      <c r="M4" s="9"/>
    </row>
    <row r="5" spans="1:13" ht="13.5" thickTop="1" x14ac:dyDescent="0.2">
      <c r="A5" s="18"/>
      <c r="B5" s="19"/>
      <c r="C5" s="20"/>
      <c r="D5" s="20"/>
      <c r="E5" s="21"/>
      <c r="F5" s="20"/>
      <c r="G5" s="20"/>
      <c r="H5" s="21"/>
      <c r="I5" s="9"/>
      <c r="J5" s="29"/>
      <c r="K5" s="29"/>
      <c r="L5" s="9"/>
      <c r="M5" s="12"/>
    </row>
    <row r="6" spans="1:13" x14ac:dyDescent="0.2">
      <c r="A6" s="18"/>
      <c r="B6" s="19"/>
      <c r="C6" s="20"/>
      <c r="D6" s="20"/>
      <c r="E6" s="21"/>
      <c r="F6" s="20"/>
      <c r="G6" s="20"/>
      <c r="H6" s="21"/>
      <c r="I6" s="9"/>
      <c r="J6" s="29"/>
      <c r="K6" s="29"/>
      <c r="L6" s="9"/>
      <c r="M6" s="9"/>
    </row>
    <row r="7" spans="1:13" x14ac:dyDescent="0.2">
      <c r="A7" s="18">
        <v>2017</v>
      </c>
      <c r="B7" s="19">
        <v>2254</v>
      </c>
      <c r="C7" s="20">
        <v>0.27650000000000002</v>
      </c>
      <c r="D7" s="20">
        <v>8.8999999999999996E-2</v>
      </c>
      <c r="E7" s="21">
        <v>19982</v>
      </c>
      <c r="F7" s="20">
        <v>0.36549999999999999</v>
      </c>
      <c r="G7" s="20">
        <v>0.27650000000000002</v>
      </c>
      <c r="H7" s="21">
        <v>19982</v>
      </c>
      <c r="I7" s="9"/>
      <c r="J7" s="29"/>
      <c r="K7" s="29"/>
      <c r="L7" s="9"/>
      <c r="M7" s="12"/>
    </row>
    <row r="8" spans="1:13" x14ac:dyDescent="0.2">
      <c r="A8" s="18">
        <v>2018</v>
      </c>
      <c r="B8" s="19">
        <v>2265</v>
      </c>
      <c r="C8" s="20">
        <v>0.27650000000000002</v>
      </c>
      <c r="D8" s="20">
        <v>8.8999999999999996E-2</v>
      </c>
      <c r="E8" s="21">
        <v>20142</v>
      </c>
      <c r="F8" s="20">
        <v>0.13200000000000001</v>
      </c>
      <c r="G8" s="20">
        <v>0.27650000000000002</v>
      </c>
      <c r="H8" s="21">
        <v>20142</v>
      </c>
      <c r="I8" s="9"/>
      <c r="J8" s="29"/>
      <c r="K8" s="29"/>
      <c r="L8" s="9"/>
      <c r="M8" s="9"/>
    </row>
    <row r="9" spans="1:13" x14ac:dyDescent="0.2">
      <c r="A9" s="18">
        <v>2019</v>
      </c>
      <c r="B9" s="19">
        <v>2477</v>
      </c>
      <c r="C9" s="20">
        <v>0.27650000000000002</v>
      </c>
      <c r="D9" s="20">
        <v>0.09</v>
      </c>
      <c r="E9" s="21">
        <v>20384</v>
      </c>
      <c r="F9" s="20">
        <v>0.1045</v>
      </c>
      <c r="G9" s="20">
        <v>0.27650000000000002</v>
      </c>
      <c r="H9" s="21">
        <v>20384</v>
      </c>
      <c r="I9" s="9"/>
      <c r="J9" s="29"/>
      <c r="K9" s="29"/>
      <c r="L9" s="9"/>
      <c r="M9" s="12"/>
    </row>
    <row r="10" spans="1:13" x14ac:dyDescent="0.2">
      <c r="A10" s="18">
        <v>2020</v>
      </c>
      <c r="B10" s="19">
        <v>2711</v>
      </c>
      <c r="C10" s="20">
        <v>0.27650000000000002</v>
      </c>
      <c r="D10" s="20">
        <v>9.7000000000000003E-2</v>
      </c>
      <c r="E10" s="21">
        <v>68507</v>
      </c>
      <c r="F10" s="20">
        <v>9.7000000000000003E-2</v>
      </c>
      <c r="G10" s="20">
        <v>0.27650000000000002</v>
      </c>
      <c r="H10" s="21">
        <v>68507</v>
      </c>
      <c r="I10" s="9"/>
      <c r="J10" s="29"/>
      <c r="K10" s="29"/>
      <c r="L10" s="9"/>
      <c r="M10" s="12"/>
    </row>
    <row r="11" spans="1:13" x14ac:dyDescent="0.2">
      <c r="A11" s="18">
        <v>2021</v>
      </c>
      <c r="B11" s="19">
        <v>2837</v>
      </c>
      <c r="C11" s="20">
        <v>0.27650000000000002</v>
      </c>
      <c r="D11" s="20">
        <v>9.4500000000000001E-2</v>
      </c>
      <c r="E11" s="21">
        <v>68507</v>
      </c>
      <c r="F11" s="20">
        <v>9.4500000000000001E-2</v>
      </c>
      <c r="G11" s="20">
        <v>0.27650000000000002</v>
      </c>
      <c r="H11" s="21">
        <v>68507</v>
      </c>
      <c r="I11" s="9" t="s">
        <v>80</v>
      </c>
      <c r="J11" s="29"/>
      <c r="K11" s="29"/>
      <c r="L11" s="9"/>
      <c r="M11" s="9"/>
    </row>
    <row r="12" spans="1:13" x14ac:dyDescent="0.2">
      <c r="A12" s="18">
        <v>2022</v>
      </c>
      <c r="B12" s="19">
        <v>2888</v>
      </c>
      <c r="C12" s="94">
        <v>0.27650000000000002</v>
      </c>
      <c r="D12" s="94">
        <v>9.4200000000000006E-2</v>
      </c>
      <c r="E12" s="21">
        <v>69398</v>
      </c>
      <c r="F12" s="94">
        <v>0.37069999999999997</v>
      </c>
      <c r="G12" s="94">
        <v>0.27650000000000002</v>
      </c>
      <c r="H12" s="21">
        <v>69398</v>
      </c>
      <c r="I12" s="9" t="s">
        <v>81</v>
      </c>
      <c r="J12" s="29"/>
      <c r="K12" s="29"/>
      <c r="L12" s="9"/>
      <c r="M12" s="12"/>
    </row>
    <row r="13" spans="1:13" x14ac:dyDescent="0.2">
      <c r="A13" s="18">
        <v>2023</v>
      </c>
      <c r="B13" s="19"/>
      <c r="C13" s="20"/>
      <c r="D13" s="20"/>
      <c r="E13" s="21"/>
      <c r="F13" s="20"/>
      <c r="G13" s="20"/>
      <c r="H13" s="21"/>
      <c r="I13" s="9"/>
      <c r="J13" s="29"/>
      <c r="K13" s="29"/>
      <c r="L13" s="9"/>
      <c r="M13" s="12"/>
    </row>
    <row r="14" spans="1:13" x14ac:dyDescent="0.2">
      <c r="A14" s="18">
        <v>2024</v>
      </c>
      <c r="B14" s="19"/>
      <c r="C14" s="20"/>
      <c r="D14" s="20"/>
      <c r="E14" s="21"/>
      <c r="F14" s="20"/>
      <c r="G14" s="20"/>
      <c r="H14" s="21"/>
      <c r="I14" s="9"/>
      <c r="J14" s="29"/>
      <c r="K14" s="29"/>
      <c r="L14" s="9"/>
      <c r="M14" s="9"/>
    </row>
    <row r="15" spans="1:13" x14ac:dyDescent="0.2">
      <c r="A15" s="18">
        <v>2025</v>
      </c>
      <c r="B15" s="19"/>
      <c r="C15" s="20"/>
      <c r="D15" s="20"/>
      <c r="E15" s="21"/>
      <c r="F15" s="20"/>
      <c r="G15" s="20"/>
      <c r="H15" s="21"/>
      <c r="I15" s="9"/>
      <c r="J15" s="29"/>
      <c r="K15" s="29"/>
      <c r="L15" s="9"/>
      <c r="M15" s="9"/>
    </row>
    <row r="16" spans="1:13" x14ac:dyDescent="0.2">
      <c r="A16" s="18">
        <v>2026</v>
      </c>
      <c r="B16" s="19"/>
      <c r="C16" s="20"/>
      <c r="D16" s="20"/>
      <c r="E16" s="21"/>
      <c r="F16" s="20"/>
      <c r="G16" s="20"/>
      <c r="H16" s="21"/>
      <c r="I16" s="9"/>
      <c r="J16" s="29"/>
      <c r="K16" s="29"/>
      <c r="L16" s="9"/>
      <c r="M16" s="12"/>
    </row>
    <row r="17" spans="1:14" ht="13.5" thickBot="1" x14ac:dyDescent="0.25">
      <c r="A17" s="22">
        <v>2027</v>
      </c>
      <c r="B17" s="23"/>
      <c r="C17" s="24"/>
      <c r="D17" s="24"/>
      <c r="E17" s="25"/>
      <c r="F17" s="24"/>
      <c r="G17" s="24"/>
      <c r="H17" s="25"/>
      <c r="I17" s="9"/>
      <c r="J17" s="29"/>
      <c r="K17" s="29"/>
      <c r="L17" s="9"/>
      <c r="M17" s="9"/>
    </row>
    <row r="18" spans="1:14" ht="13.5" thickBot="1" x14ac:dyDescent="0.25">
      <c r="A18" s="22">
        <v>2027</v>
      </c>
      <c r="B18" s="19"/>
      <c r="C18" s="20"/>
      <c r="D18" s="20"/>
      <c r="E18" s="21"/>
      <c r="F18" s="20"/>
      <c r="G18" s="20"/>
      <c r="H18" s="21"/>
      <c r="I18" s="9"/>
      <c r="J18" s="29"/>
      <c r="K18" s="29"/>
      <c r="L18" s="9"/>
      <c r="M18" s="9"/>
    </row>
    <row r="19" spans="1:14" ht="13.5" thickBot="1" x14ac:dyDescent="0.25">
      <c r="A19" s="22">
        <v>2027</v>
      </c>
      <c r="B19" s="19"/>
      <c r="C19" s="20"/>
      <c r="D19" s="20"/>
      <c r="E19" s="21"/>
      <c r="F19" s="20"/>
      <c r="G19" s="20"/>
      <c r="H19" s="21"/>
      <c r="I19" s="9"/>
      <c r="J19" s="29"/>
      <c r="K19" s="29"/>
      <c r="L19" s="9"/>
      <c r="M19" s="9"/>
    </row>
    <row r="20" spans="1:14" ht="13.5" thickBot="1" x14ac:dyDescent="0.25">
      <c r="A20" s="22">
        <v>2027</v>
      </c>
      <c r="B20" s="19"/>
      <c r="C20" s="20"/>
      <c r="D20" s="20"/>
      <c r="E20" s="21"/>
      <c r="F20" s="20"/>
      <c r="G20" s="20"/>
      <c r="H20" s="21"/>
      <c r="I20" s="9"/>
      <c r="J20" s="29"/>
      <c r="K20" s="29"/>
      <c r="L20" s="9"/>
      <c r="M20" s="9"/>
    </row>
    <row r="21" spans="1:14" ht="13.5" thickBot="1" x14ac:dyDescent="0.25">
      <c r="A21" s="22">
        <v>2027</v>
      </c>
      <c r="B21" s="19"/>
      <c r="C21" s="20"/>
      <c r="D21" s="20"/>
      <c r="E21" s="21"/>
      <c r="F21" s="20"/>
      <c r="G21" s="20"/>
      <c r="H21" s="21"/>
      <c r="I21" s="9"/>
      <c r="J21" s="29"/>
      <c r="K21" s="29"/>
      <c r="L21" s="9"/>
      <c r="M21" s="9"/>
    </row>
    <row r="22" spans="1:14" ht="13.5" thickBot="1" x14ac:dyDescent="0.25">
      <c r="A22" s="22">
        <v>2027</v>
      </c>
      <c r="B22" s="23"/>
      <c r="C22" s="24"/>
      <c r="D22" s="24"/>
      <c r="E22" s="25"/>
      <c r="F22" s="24"/>
      <c r="G22" s="24"/>
      <c r="H22" s="25"/>
      <c r="I22" s="9"/>
      <c r="J22" s="29"/>
      <c r="K22" s="29"/>
      <c r="L22" s="9"/>
      <c r="M22" s="9"/>
    </row>
    <row r="23" spans="1:14" x14ac:dyDescent="0.2">
      <c r="A23" s="9"/>
      <c r="B23" s="12"/>
      <c r="C23" s="9"/>
      <c r="D23" s="9"/>
      <c r="E23" s="9"/>
      <c r="F23" s="12"/>
      <c r="G23" s="12"/>
      <c r="H23" s="12"/>
      <c r="I23" s="12"/>
      <c r="J23" s="9"/>
      <c r="K23" s="9"/>
    </row>
    <row r="24" spans="1:14" x14ac:dyDescent="0.2">
      <c r="A24" s="9"/>
      <c r="B24" s="12"/>
      <c r="C24" s="9"/>
      <c r="D24" s="9"/>
      <c r="E24" s="9"/>
      <c r="F24" s="12"/>
      <c r="G24" s="12"/>
      <c r="H24" s="12"/>
      <c r="I24" s="12"/>
      <c r="J24" s="9"/>
      <c r="K24" s="9"/>
    </row>
    <row r="25" spans="1:14" x14ac:dyDescent="0.2">
      <c r="A25" s="9" t="s">
        <v>45</v>
      </c>
      <c r="B25" s="12"/>
      <c r="C25" s="9"/>
      <c r="D25" s="9"/>
      <c r="E25" s="9"/>
      <c r="F25" s="12" t="s">
        <v>60</v>
      </c>
      <c r="G25" s="12"/>
      <c r="H25" s="12" t="s">
        <v>67</v>
      </c>
      <c r="I25" s="12"/>
      <c r="J25" s="9"/>
      <c r="K25" s="9"/>
    </row>
    <row r="26" spans="1:14" x14ac:dyDescent="0.2">
      <c r="A26" s="9" t="s">
        <v>46</v>
      </c>
      <c r="B26" s="12" t="s">
        <v>27</v>
      </c>
      <c r="C26" s="9" t="s">
        <v>47</v>
      </c>
      <c r="D26" s="9" t="s">
        <v>48</v>
      </c>
      <c r="E26" s="9" t="s">
        <v>49</v>
      </c>
      <c r="F26" s="9" t="s">
        <v>61</v>
      </c>
      <c r="G26" s="9" t="s">
        <v>62</v>
      </c>
      <c r="H26" s="9" t="s">
        <v>61</v>
      </c>
      <c r="I26" s="9" t="s">
        <v>68</v>
      </c>
      <c r="J26" s="12" t="s">
        <v>54</v>
      </c>
      <c r="K26" s="12"/>
    </row>
    <row r="27" spans="1:14" x14ac:dyDescent="0.2">
      <c r="A27" s="18"/>
      <c r="B27" s="19"/>
      <c r="C27" s="26"/>
      <c r="D27" s="19"/>
      <c r="E27" s="26"/>
      <c r="F27" s="19"/>
      <c r="G27" s="26"/>
      <c r="H27" s="19"/>
      <c r="I27" s="26"/>
      <c r="J27" s="19"/>
      <c r="K27" s="30"/>
      <c r="L27" s="11"/>
      <c r="N27" s="11"/>
    </row>
    <row r="28" spans="1:14" x14ac:dyDescent="0.2">
      <c r="A28" s="18"/>
      <c r="B28" s="19"/>
      <c r="C28" s="26"/>
      <c r="D28" s="19"/>
      <c r="E28" s="26"/>
      <c r="F28" s="19"/>
      <c r="G28" s="26"/>
      <c r="H28" s="19"/>
      <c r="I28" s="26"/>
      <c r="J28" s="19"/>
      <c r="K28" s="30"/>
      <c r="L28" s="11"/>
      <c r="N28" s="11"/>
    </row>
    <row r="29" spans="1:14" x14ac:dyDescent="0.2">
      <c r="A29" s="18">
        <v>2017</v>
      </c>
      <c r="B29" s="19">
        <v>9309</v>
      </c>
      <c r="C29" s="26">
        <v>1.772E-2</v>
      </c>
      <c r="D29" s="19">
        <v>165</v>
      </c>
      <c r="E29" s="26">
        <v>0.28316999999999998</v>
      </c>
      <c r="F29" s="19">
        <v>20108</v>
      </c>
      <c r="G29" s="26">
        <v>0</v>
      </c>
      <c r="H29" s="19">
        <v>20108</v>
      </c>
      <c r="I29" s="26">
        <v>0</v>
      </c>
      <c r="J29" s="19">
        <v>3223</v>
      </c>
      <c r="K29" s="30"/>
      <c r="L29" s="11"/>
      <c r="N29" s="11"/>
    </row>
    <row r="30" spans="1:14" x14ac:dyDescent="0.2">
      <c r="A30" s="18">
        <v>2018</v>
      </c>
      <c r="B30" s="19">
        <v>9468</v>
      </c>
      <c r="C30" s="26">
        <v>1.7639999999999999E-2</v>
      </c>
      <c r="D30" s="19">
        <v>167</v>
      </c>
      <c r="E30" s="26">
        <v>0.28064</v>
      </c>
      <c r="F30" s="19">
        <v>20450</v>
      </c>
      <c r="G30" s="26">
        <v>0</v>
      </c>
      <c r="H30" s="19">
        <v>20450</v>
      </c>
      <c r="I30" s="26">
        <v>3.5999999999999997E-2</v>
      </c>
      <c r="J30" s="19">
        <v>3249</v>
      </c>
      <c r="K30" s="30"/>
      <c r="L30" s="11"/>
      <c r="N30" s="11"/>
    </row>
    <row r="31" spans="1:14" x14ac:dyDescent="0.2">
      <c r="A31" s="18">
        <v>2019</v>
      </c>
      <c r="B31" s="19">
        <v>9694</v>
      </c>
      <c r="C31" s="26">
        <v>1.754E-2</v>
      </c>
      <c r="D31" s="19">
        <v>170</v>
      </c>
      <c r="E31" s="26">
        <v>0.28711999999999999</v>
      </c>
      <c r="F31" s="19">
        <v>20940</v>
      </c>
      <c r="G31" s="26">
        <v>0</v>
      </c>
      <c r="H31" s="19">
        <v>20940</v>
      </c>
      <c r="I31" s="26">
        <v>0.06</v>
      </c>
      <c r="J31" s="19">
        <v>3399</v>
      </c>
      <c r="K31" s="30"/>
      <c r="L31" s="11"/>
      <c r="N31" s="11"/>
    </row>
    <row r="32" spans="1:14" x14ac:dyDescent="0.2">
      <c r="A32" s="18">
        <v>2020</v>
      </c>
      <c r="B32" s="19">
        <v>9921</v>
      </c>
      <c r="C32" s="26">
        <v>2.8119999999999999E-2</v>
      </c>
      <c r="D32" s="19">
        <v>279</v>
      </c>
      <c r="E32" s="26">
        <v>0.28811999999999999</v>
      </c>
      <c r="F32" s="19">
        <v>21430</v>
      </c>
      <c r="G32" s="26">
        <v>1.6559999999999998E-2</v>
      </c>
      <c r="H32" s="19">
        <v>34954</v>
      </c>
      <c r="I32" s="26">
        <v>0.06</v>
      </c>
      <c r="J32" s="19">
        <v>3819</v>
      </c>
      <c r="K32" s="30"/>
      <c r="L32" s="11"/>
      <c r="N32" s="11"/>
    </row>
    <row r="33" spans="1:14" x14ac:dyDescent="0.2">
      <c r="A33" s="18">
        <v>2021</v>
      </c>
      <c r="B33" s="19">
        <v>10109</v>
      </c>
      <c r="C33" s="26">
        <v>4.5809999999999997E-2</v>
      </c>
      <c r="D33" s="19">
        <v>463</v>
      </c>
      <c r="E33" s="26">
        <v>0.28771000000000002</v>
      </c>
      <c r="F33" s="19">
        <v>21835</v>
      </c>
      <c r="G33" s="26">
        <v>2.6630000000000001E-2</v>
      </c>
      <c r="H33" s="19">
        <v>35652</v>
      </c>
      <c r="I33" s="26">
        <v>0.06</v>
      </c>
      <c r="J33" s="19">
        <v>4205</v>
      </c>
      <c r="K33" s="30"/>
      <c r="L33" s="11"/>
      <c r="N33" s="11"/>
    </row>
    <row r="34" spans="1:14" x14ac:dyDescent="0.2">
      <c r="A34" s="18">
        <v>2022</v>
      </c>
      <c r="B34" s="19">
        <v>10351</v>
      </c>
      <c r="C34" s="26">
        <v>2.3480000000000001E-2</v>
      </c>
      <c r="D34" s="19">
        <v>470</v>
      </c>
      <c r="E34" s="26">
        <v>0.28460999999999997</v>
      </c>
      <c r="F34" s="19">
        <v>22357</v>
      </c>
      <c r="G34" s="26">
        <v>2.6100000000000002E-2</v>
      </c>
      <c r="H34" s="19">
        <v>36650</v>
      </c>
      <c r="I34" s="26">
        <v>5.8599999999999999E-2</v>
      </c>
      <c r="J34" s="19">
        <v>4260</v>
      </c>
      <c r="K34" s="30"/>
      <c r="L34" s="11"/>
      <c r="N34" s="11"/>
    </row>
    <row r="35" spans="1:14" x14ac:dyDescent="0.2">
      <c r="A35" s="18">
        <v>2023</v>
      </c>
      <c r="B35" s="19"/>
      <c r="C35" s="26"/>
      <c r="D35" s="19"/>
      <c r="E35" s="26"/>
      <c r="F35" s="19"/>
      <c r="G35" s="26"/>
      <c r="H35" s="19"/>
      <c r="I35" s="26"/>
      <c r="J35" s="19"/>
      <c r="K35" s="30"/>
      <c r="L35" s="11"/>
      <c r="N35" s="11"/>
    </row>
    <row r="36" spans="1:14" x14ac:dyDescent="0.2">
      <c r="A36" s="18">
        <v>2024</v>
      </c>
      <c r="B36" s="19"/>
      <c r="C36" s="26"/>
      <c r="D36" s="19"/>
      <c r="E36" s="26"/>
      <c r="F36" s="19"/>
      <c r="G36" s="26"/>
      <c r="H36" s="19"/>
      <c r="I36" s="26"/>
      <c r="J36" s="19"/>
      <c r="K36" s="30"/>
      <c r="L36" s="11"/>
      <c r="N36" s="11"/>
    </row>
    <row r="37" spans="1:14" x14ac:dyDescent="0.2">
      <c r="A37" s="18">
        <v>2025</v>
      </c>
      <c r="B37" s="19"/>
      <c r="C37" s="26"/>
      <c r="D37" s="19"/>
      <c r="E37" s="26"/>
      <c r="F37" s="19"/>
      <c r="G37" s="26"/>
      <c r="H37" s="19"/>
      <c r="I37" s="26"/>
      <c r="J37" s="19"/>
      <c r="K37" s="30"/>
      <c r="L37" s="11"/>
      <c r="N37" s="11"/>
    </row>
    <row r="38" spans="1:14" x14ac:dyDescent="0.2">
      <c r="A38" s="18">
        <v>2026</v>
      </c>
      <c r="B38" s="19"/>
      <c r="C38" s="26"/>
      <c r="D38" s="19"/>
      <c r="E38" s="26"/>
      <c r="F38" s="19"/>
      <c r="G38" s="26"/>
      <c r="H38" s="19"/>
      <c r="I38" s="26"/>
      <c r="J38" s="19"/>
      <c r="K38" s="30"/>
      <c r="L38" s="11"/>
      <c r="N38" s="11"/>
    </row>
    <row r="39" spans="1:14" ht="13.5" thickBot="1" x14ac:dyDescent="0.25">
      <c r="A39" s="22">
        <v>2027</v>
      </c>
      <c r="B39" s="23"/>
      <c r="C39" s="27"/>
      <c r="D39" s="28"/>
      <c r="E39" s="27"/>
      <c r="F39" s="23"/>
      <c r="G39" s="27"/>
      <c r="H39" s="23"/>
      <c r="I39" s="27"/>
      <c r="J39" s="23"/>
      <c r="K39" s="30"/>
      <c r="L39" s="11"/>
      <c r="N39" s="11"/>
    </row>
    <row r="40" spans="1:14" x14ac:dyDescent="0.2">
      <c r="A40" s="9"/>
      <c r="B40" s="9"/>
      <c r="C40" s="9"/>
      <c r="D40" s="9"/>
      <c r="E40" s="9"/>
      <c r="F40" s="9"/>
      <c r="G40" s="12"/>
      <c r="H40" s="12"/>
      <c r="I40" s="12"/>
      <c r="J40" s="9"/>
      <c r="K40" s="9"/>
    </row>
    <row r="41" spans="1:14" x14ac:dyDescent="0.2">
      <c r="A41" s="9"/>
      <c r="B41" s="12"/>
      <c r="C41" s="9"/>
      <c r="D41" s="9"/>
      <c r="E41" s="9"/>
      <c r="F41" s="12"/>
      <c r="G41" s="12"/>
      <c r="H41" s="12"/>
      <c r="I41" s="12"/>
      <c r="J41" s="9"/>
      <c r="K41" s="9"/>
    </row>
    <row r="42" spans="1:14" x14ac:dyDescent="0.2">
      <c r="A42" s="9" t="s">
        <v>93</v>
      </c>
      <c r="B42" s="12"/>
      <c r="C42" s="9"/>
      <c r="D42" s="9"/>
      <c r="E42" s="9"/>
      <c r="F42" s="12" t="s">
        <v>60</v>
      </c>
      <c r="G42" s="12"/>
      <c r="H42" s="12" t="s">
        <v>67</v>
      </c>
      <c r="I42" s="12"/>
      <c r="J42" s="9"/>
      <c r="K42" s="9"/>
    </row>
    <row r="43" spans="1:14" x14ac:dyDescent="0.2">
      <c r="A43" s="9" t="s">
        <v>46</v>
      </c>
      <c r="B43" s="12" t="s">
        <v>94</v>
      </c>
      <c r="C43" s="9" t="s">
        <v>47</v>
      </c>
      <c r="D43" s="9" t="s">
        <v>95</v>
      </c>
      <c r="E43" s="9" t="s">
        <v>49</v>
      </c>
      <c r="F43" s="9" t="s">
        <v>61</v>
      </c>
      <c r="G43" s="9" t="s">
        <v>62</v>
      </c>
      <c r="H43" s="9" t="s">
        <v>61</v>
      </c>
      <c r="I43" s="9" t="s">
        <v>68</v>
      </c>
      <c r="J43" s="12" t="s">
        <v>54</v>
      </c>
      <c r="K43" s="12"/>
    </row>
    <row r="44" spans="1:14" x14ac:dyDescent="0.2">
      <c r="A44" s="18"/>
      <c r="B44" s="19"/>
      <c r="C44" s="26"/>
      <c r="D44" s="19"/>
      <c r="E44" s="26"/>
      <c r="F44" s="19"/>
      <c r="G44" s="26"/>
      <c r="H44" s="19"/>
      <c r="I44" s="26"/>
      <c r="J44" s="19"/>
      <c r="K44" s="30"/>
      <c r="L44" s="11"/>
      <c r="N44" s="11"/>
    </row>
    <row r="45" spans="1:14" x14ac:dyDescent="0.2">
      <c r="A45" s="18"/>
      <c r="B45" s="19"/>
      <c r="C45" s="26"/>
      <c r="D45" s="19"/>
      <c r="E45" s="26"/>
      <c r="F45" s="19"/>
      <c r="G45" s="26"/>
      <c r="H45" s="19"/>
      <c r="I45" s="26"/>
      <c r="J45" s="19"/>
      <c r="K45" s="30"/>
      <c r="L45" s="11"/>
      <c r="N45" s="11"/>
    </row>
    <row r="46" spans="1:14" x14ac:dyDescent="0.2">
      <c r="A46" s="18">
        <v>2017</v>
      </c>
      <c r="B46" s="19"/>
      <c r="C46" s="26"/>
      <c r="D46" s="19"/>
      <c r="E46" s="26"/>
      <c r="F46" s="19"/>
      <c r="G46" s="26"/>
      <c r="H46" s="19"/>
      <c r="I46" s="26"/>
      <c r="J46" s="19"/>
      <c r="K46" s="30"/>
      <c r="L46" s="11"/>
      <c r="N46" s="11"/>
    </row>
    <row r="47" spans="1:14" x14ac:dyDescent="0.2">
      <c r="A47" s="18">
        <v>2018</v>
      </c>
      <c r="B47" s="19"/>
      <c r="C47" s="26"/>
      <c r="D47" s="19"/>
      <c r="E47" s="26"/>
      <c r="F47" s="19"/>
      <c r="G47" s="26"/>
      <c r="H47" s="19"/>
      <c r="I47" s="26"/>
      <c r="J47" s="19"/>
      <c r="K47" s="30"/>
      <c r="L47" s="11"/>
      <c r="N47" s="11"/>
    </row>
    <row r="48" spans="1:14" x14ac:dyDescent="0.2">
      <c r="A48" s="18">
        <v>2019</v>
      </c>
      <c r="B48" s="19"/>
      <c r="C48" s="26"/>
      <c r="D48" s="19"/>
      <c r="E48" s="26"/>
      <c r="F48" s="19"/>
      <c r="G48" s="26"/>
      <c r="H48" s="19"/>
      <c r="I48" s="26"/>
      <c r="J48" s="19"/>
      <c r="K48" s="30"/>
      <c r="L48" s="11"/>
      <c r="N48" s="11"/>
    </row>
    <row r="49" spans="1:14" x14ac:dyDescent="0.2">
      <c r="A49" s="18">
        <v>2020</v>
      </c>
      <c r="B49" s="19">
        <v>5072</v>
      </c>
      <c r="C49" s="26">
        <v>0.1145</v>
      </c>
      <c r="D49" s="19">
        <v>30234</v>
      </c>
      <c r="E49" s="26">
        <v>28.81</v>
      </c>
      <c r="F49" s="19"/>
      <c r="G49" s="26"/>
      <c r="H49" s="19"/>
      <c r="I49" s="26"/>
      <c r="J49" s="19"/>
      <c r="K49" s="30"/>
      <c r="L49" s="11"/>
      <c r="N49" s="11"/>
    </row>
    <row r="50" spans="1:14" x14ac:dyDescent="0.2">
      <c r="A50" s="18">
        <v>2021</v>
      </c>
      <c r="B50" s="19"/>
      <c r="C50" s="26"/>
      <c r="D50" s="19"/>
      <c r="E50" s="26"/>
      <c r="F50" s="19"/>
      <c r="G50" s="26"/>
      <c r="H50" s="19"/>
      <c r="I50" s="26"/>
      <c r="J50" s="19"/>
      <c r="K50" s="30"/>
      <c r="L50" s="11"/>
      <c r="N50" s="11"/>
    </row>
    <row r="51" spans="1:14" x14ac:dyDescent="0.2">
      <c r="A51" s="18">
        <v>2022</v>
      </c>
      <c r="B51" s="19"/>
      <c r="C51" s="26"/>
      <c r="D51" s="19"/>
      <c r="E51" s="26"/>
      <c r="F51" s="19"/>
      <c r="G51" s="26"/>
      <c r="H51" s="19"/>
      <c r="I51" s="26"/>
      <c r="J51" s="19"/>
      <c r="K51" s="30"/>
      <c r="L51" s="11"/>
      <c r="N51" s="11"/>
    </row>
    <row r="52" spans="1:14" x14ac:dyDescent="0.2">
      <c r="A52" s="18">
        <v>2023</v>
      </c>
      <c r="B52" s="19"/>
      <c r="C52" s="26"/>
      <c r="D52" s="19"/>
      <c r="E52" s="26"/>
      <c r="F52" s="19"/>
      <c r="G52" s="26"/>
      <c r="H52" s="19"/>
      <c r="I52" s="26"/>
      <c r="J52" s="19"/>
      <c r="K52" s="30"/>
      <c r="L52" s="11"/>
      <c r="N52" s="11"/>
    </row>
    <row r="53" spans="1:14" x14ac:dyDescent="0.2">
      <c r="A53" s="18">
        <v>2024</v>
      </c>
      <c r="B53" s="19"/>
      <c r="C53" s="26"/>
      <c r="D53" s="19"/>
      <c r="E53" s="26"/>
      <c r="F53" s="19"/>
      <c r="G53" s="26"/>
      <c r="H53" s="19"/>
      <c r="I53" s="26"/>
      <c r="J53" s="19"/>
      <c r="K53" s="30"/>
      <c r="L53" s="11"/>
      <c r="N53" s="11"/>
    </row>
    <row r="54" spans="1:14" x14ac:dyDescent="0.2">
      <c r="A54" s="18">
        <v>2025</v>
      </c>
      <c r="B54" s="19"/>
      <c r="C54" s="26"/>
      <c r="D54" s="19"/>
      <c r="E54" s="26"/>
      <c r="F54" s="19"/>
      <c r="G54" s="26"/>
      <c r="H54" s="19"/>
      <c r="I54" s="26"/>
      <c r="J54" s="19"/>
      <c r="K54" s="30"/>
      <c r="L54" s="11"/>
      <c r="N54" s="11"/>
    </row>
    <row r="55" spans="1:14" x14ac:dyDescent="0.2">
      <c r="A55" s="18">
        <v>2026</v>
      </c>
      <c r="B55" s="19"/>
      <c r="C55" s="26"/>
      <c r="D55" s="19"/>
      <c r="E55" s="26"/>
      <c r="F55" s="19"/>
      <c r="G55" s="26"/>
      <c r="H55" s="19"/>
      <c r="I55" s="26"/>
      <c r="J55" s="19"/>
      <c r="K55" s="30"/>
      <c r="L55" s="11"/>
      <c r="N55" s="11"/>
    </row>
    <row r="56" spans="1:14" ht="13.5" thickBot="1" x14ac:dyDescent="0.25">
      <c r="A56" s="22">
        <v>2027</v>
      </c>
      <c r="B56" s="23"/>
      <c r="C56" s="27"/>
      <c r="D56" s="28"/>
      <c r="E56" s="27"/>
      <c r="F56" s="23"/>
      <c r="G56" s="27"/>
      <c r="H56" s="23"/>
      <c r="I56" s="27"/>
      <c r="J56" s="23"/>
      <c r="K56" s="30"/>
      <c r="L56" s="11"/>
      <c r="N56" s="11"/>
    </row>
    <row r="57" spans="1:14" x14ac:dyDescent="0.2">
      <c r="A57" s="31" t="s">
        <v>78</v>
      </c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4" x14ac:dyDescent="0.2">
      <c r="A58" s="31"/>
      <c r="B58" s="9"/>
      <c r="C58" s="9"/>
      <c r="D58" s="9"/>
      <c r="E58" s="9"/>
      <c r="F58" s="9"/>
      <c r="G58" s="9"/>
      <c r="H58" s="9"/>
      <c r="I58" s="9"/>
      <c r="J58" s="9"/>
      <c r="K58" s="9"/>
    </row>
    <row r="62" spans="1:14" x14ac:dyDescent="0.2">
      <c r="J62" s="10" t="s">
        <v>50</v>
      </c>
    </row>
  </sheetData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5CFD2-5959-4C5C-B549-497C869AD6DB}">
  <sheetPr codeName="Blad4"/>
  <dimension ref="A2:N57"/>
  <sheetViews>
    <sheetView workbookViewId="0">
      <selection activeCell="E56" sqref="D56:E56"/>
    </sheetView>
  </sheetViews>
  <sheetFormatPr defaultColWidth="9.140625" defaultRowHeight="12.75" x14ac:dyDescent="0.2"/>
  <cols>
    <col min="1" max="1" width="9.140625" style="10"/>
    <col min="2" max="2" width="8.85546875" style="11" customWidth="1"/>
    <col min="3" max="3" width="10.7109375" style="10" bestFit="1" customWidth="1"/>
    <col min="4" max="4" width="9.140625" style="10"/>
    <col min="5" max="5" width="11" style="10" customWidth="1"/>
    <col min="6" max="6" width="8.42578125" style="11" customWidth="1"/>
    <col min="7" max="9" width="10.28515625" style="11" customWidth="1"/>
    <col min="10" max="10" width="9.42578125" style="10" bestFit="1" customWidth="1"/>
    <col min="11" max="16384" width="9.140625" style="10"/>
  </cols>
  <sheetData>
    <row r="2" spans="1:12" x14ac:dyDescent="0.2">
      <c r="A2" s="9"/>
      <c r="B2" s="12"/>
      <c r="C2" s="9"/>
      <c r="D2" s="9"/>
      <c r="E2" s="9"/>
      <c r="F2" s="12"/>
      <c r="G2" s="12"/>
      <c r="H2" s="12"/>
      <c r="I2" s="12"/>
      <c r="J2" s="9"/>
      <c r="K2" s="9"/>
    </row>
    <row r="3" spans="1:12" ht="13.5" thickBot="1" x14ac:dyDescent="0.25">
      <c r="A3" s="9" t="s">
        <v>90</v>
      </c>
      <c r="B3" s="12"/>
      <c r="C3" s="9"/>
      <c r="D3" s="9"/>
      <c r="E3" s="9"/>
      <c r="F3" s="12"/>
      <c r="G3" s="12"/>
      <c r="H3" s="12"/>
      <c r="I3" s="12"/>
      <c r="J3" s="9"/>
      <c r="K3" s="9"/>
    </row>
    <row r="4" spans="1:12" ht="13.5" thickBot="1" x14ac:dyDescent="0.25">
      <c r="A4" s="13"/>
      <c r="B4" s="15" t="s">
        <v>27</v>
      </c>
      <c r="C4" s="15" t="s">
        <v>27</v>
      </c>
      <c r="D4" s="15" t="s">
        <v>28</v>
      </c>
      <c r="E4" s="15" t="s">
        <v>28</v>
      </c>
      <c r="F4" s="15" t="s">
        <v>75</v>
      </c>
      <c r="G4" s="16" t="s">
        <v>75</v>
      </c>
      <c r="H4" s="15" t="s">
        <v>86</v>
      </c>
      <c r="I4" s="16" t="s">
        <v>75</v>
      </c>
      <c r="J4" s="9"/>
      <c r="K4" s="10" t="s">
        <v>107</v>
      </c>
      <c r="L4" s="10" t="s">
        <v>108</v>
      </c>
    </row>
    <row r="5" spans="1:12" ht="13.5" thickTop="1" x14ac:dyDescent="0.2">
      <c r="A5" s="18"/>
      <c r="B5" s="20"/>
      <c r="C5" s="21"/>
      <c r="D5" s="20"/>
      <c r="E5" s="21"/>
      <c r="F5" s="20"/>
      <c r="G5" s="21"/>
      <c r="H5" s="20"/>
      <c r="I5" s="21"/>
      <c r="J5" s="12"/>
    </row>
    <row r="6" spans="1:12" x14ac:dyDescent="0.2">
      <c r="A6" s="18"/>
      <c r="B6" s="20"/>
      <c r="C6" s="21"/>
      <c r="D6" s="20"/>
      <c r="E6" s="21"/>
      <c r="F6" s="20"/>
      <c r="G6" s="21"/>
      <c r="H6" s="20"/>
      <c r="I6" s="21"/>
      <c r="J6" s="9"/>
      <c r="K6" s="108"/>
    </row>
    <row r="7" spans="1:12" x14ac:dyDescent="0.2">
      <c r="A7" s="18">
        <v>2017</v>
      </c>
      <c r="B7" s="20">
        <v>0.36549999999999999</v>
      </c>
      <c r="C7" s="21">
        <v>19982</v>
      </c>
      <c r="D7" s="20">
        <v>0.40799999999999997</v>
      </c>
      <c r="E7" s="21">
        <v>33791</v>
      </c>
      <c r="F7" s="20">
        <v>0.40799999999999997</v>
      </c>
      <c r="G7" s="21">
        <v>67072</v>
      </c>
      <c r="H7" s="20">
        <v>0.52</v>
      </c>
      <c r="I7" s="21"/>
      <c r="J7" s="12"/>
      <c r="K7" s="108">
        <v>5.3999999999999999E-2</v>
      </c>
      <c r="L7" s="10">
        <v>53701</v>
      </c>
    </row>
    <row r="8" spans="1:12" x14ac:dyDescent="0.2">
      <c r="A8" s="18">
        <v>2018</v>
      </c>
      <c r="B8" s="20">
        <v>0.36549999999999999</v>
      </c>
      <c r="C8" s="21">
        <v>20142</v>
      </c>
      <c r="D8" s="20">
        <v>0.40849999999999997</v>
      </c>
      <c r="E8" s="21">
        <v>20142</v>
      </c>
      <c r="F8" s="20">
        <v>0.40849999999999997</v>
      </c>
      <c r="G8" s="21">
        <v>20142</v>
      </c>
      <c r="H8" s="20">
        <v>0.51949999999999996</v>
      </c>
      <c r="I8" s="21"/>
      <c r="J8" s="9"/>
      <c r="K8" s="108">
        <v>5.6500000000000002E-2</v>
      </c>
      <c r="L8" s="10">
        <v>54614</v>
      </c>
    </row>
    <row r="9" spans="1:12" x14ac:dyDescent="0.2">
      <c r="A9" s="18">
        <v>2019</v>
      </c>
      <c r="B9" s="20">
        <v>0.36649999999999999</v>
      </c>
      <c r="C9" s="21">
        <v>20384</v>
      </c>
      <c r="D9" s="20">
        <v>0.38100000000000001</v>
      </c>
      <c r="E9" s="21">
        <v>34300</v>
      </c>
      <c r="F9" s="20">
        <v>0.38100000000000001</v>
      </c>
      <c r="G9" s="21">
        <v>68507</v>
      </c>
      <c r="H9" s="20">
        <v>0.51749999999999996</v>
      </c>
      <c r="I9" s="21"/>
      <c r="J9" s="12"/>
      <c r="K9" s="108">
        <v>5.7000000000000002E-2</v>
      </c>
      <c r="L9" s="10">
        <v>55927</v>
      </c>
    </row>
    <row r="10" spans="1:12" x14ac:dyDescent="0.2">
      <c r="A10" s="18">
        <v>2020</v>
      </c>
      <c r="B10" s="20">
        <v>0.3735</v>
      </c>
      <c r="C10" s="21">
        <v>68507</v>
      </c>
      <c r="D10" s="20">
        <v>0.495</v>
      </c>
      <c r="E10" s="21">
        <v>10000000</v>
      </c>
      <c r="F10" s="20"/>
      <c r="G10" s="21">
        <v>10000000</v>
      </c>
      <c r="H10" s="20"/>
      <c r="I10" s="21"/>
      <c r="J10" s="12"/>
      <c r="K10" s="108">
        <v>5.45E-2</v>
      </c>
      <c r="L10" s="10">
        <v>57232</v>
      </c>
    </row>
    <row r="11" spans="1:12" x14ac:dyDescent="0.2">
      <c r="A11" s="18">
        <v>2021</v>
      </c>
      <c r="B11" s="20">
        <v>0.371</v>
      </c>
      <c r="C11" s="21">
        <v>68507</v>
      </c>
      <c r="D11" s="20">
        <v>0.495</v>
      </c>
      <c r="E11" s="21">
        <v>10000000</v>
      </c>
      <c r="F11" s="20"/>
      <c r="G11" s="21">
        <v>10000000</v>
      </c>
      <c r="H11" s="20"/>
      <c r="I11" s="21"/>
      <c r="J11" s="9"/>
      <c r="K11" s="108">
        <v>5.7500000000000002E-2</v>
      </c>
      <c r="L11" s="10">
        <v>58311</v>
      </c>
    </row>
    <row r="12" spans="1:12" x14ac:dyDescent="0.2">
      <c r="A12" s="18">
        <v>2022</v>
      </c>
      <c r="B12" s="94">
        <v>0.37069999999999997</v>
      </c>
      <c r="C12" s="21">
        <v>69398</v>
      </c>
      <c r="D12" s="20">
        <v>0.495</v>
      </c>
      <c r="E12" s="21">
        <v>10000000</v>
      </c>
      <c r="F12"/>
      <c r="G12" s="21">
        <v>10000000</v>
      </c>
      <c r="H12"/>
      <c r="I12" s="21"/>
      <c r="J12" s="12"/>
      <c r="K12" s="108">
        <v>5.5E-2</v>
      </c>
      <c r="L12" s="10">
        <v>69706</v>
      </c>
    </row>
    <row r="13" spans="1:12" x14ac:dyDescent="0.2">
      <c r="A13" s="18">
        <v>2023</v>
      </c>
      <c r="B13" s="20"/>
      <c r="C13" s="20"/>
      <c r="D13" s="20"/>
      <c r="E13" s="20"/>
      <c r="F13" s="20"/>
      <c r="G13" s="21"/>
      <c r="H13" s="29"/>
      <c r="I13" s="9"/>
      <c r="J13" s="12"/>
      <c r="K13" s="108"/>
    </row>
    <row r="14" spans="1:12" x14ac:dyDescent="0.2">
      <c r="A14" s="18">
        <v>2024</v>
      </c>
      <c r="B14" s="20"/>
      <c r="C14" s="20"/>
      <c r="D14" s="20"/>
      <c r="E14" s="20"/>
      <c r="F14" s="20"/>
      <c r="G14" s="21"/>
      <c r="H14" s="29"/>
      <c r="I14" s="9"/>
      <c r="J14" s="9"/>
      <c r="K14" s="108"/>
    </row>
    <row r="15" spans="1:12" x14ac:dyDescent="0.2">
      <c r="A15" s="18">
        <v>2025</v>
      </c>
      <c r="B15" s="20"/>
      <c r="C15" s="20"/>
      <c r="D15" s="20"/>
      <c r="E15" s="20"/>
      <c r="F15" s="20"/>
      <c r="G15" s="21"/>
      <c r="H15" s="29"/>
      <c r="I15" s="9"/>
      <c r="J15" s="9"/>
      <c r="K15" s="108"/>
    </row>
    <row r="16" spans="1:12" x14ac:dyDescent="0.2">
      <c r="A16" s="18">
        <v>2026</v>
      </c>
      <c r="B16" s="20"/>
      <c r="C16" s="20"/>
      <c r="D16" s="20"/>
      <c r="E16" s="20"/>
      <c r="F16" s="20"/>
      <c r="G16" s="21"/>
      <c r="H16" s="29"/>
      <c r="I16" s="9"/>
      <c r="J16" s="12"/>
      <c r="K16" s="108"/>
    </row>
    <row r="17" spans="1:12" ht="13.5" thickBot="1" x14ac:dyDescent="0.25">
      <c r="A17" s="22">
        <v>2027</v>
      </c>
      <c r="B17" s="24"/>
      <c r="C17" s="24"/>
      <c r="D17" s="24"/>
      <c r="E17" s="24"/>
      <c r="F17" s="24"/>
      <c r="G17" s="25"/>
      <c r="H17" s="29"/>
      <c r="I17" s="9"/>
      <c r="J17" s="9"/>
      <c r="K17" s="108"/>
    </row>
    <row r="18" spans="1:12" x14ac:dyDescent="0.2">
      <c r="A18" s="18"/>
      <c r="B18" s="20"/>
      <c r="C18" s="20"/>
      <c r="D18" s="20"/>
      <c r="E18" s="21"/>
      <c r="F18" s="9"/>
      <c r="G18" s="29"/>
      <c r="H18" s="29"/>
      <c r="I18" s="9"/>
      <c r="J18" s="9"/>
      <c r="K18" s="108"/>
    </row>
    <row r="19" spans="1:12" x14ac:dyDescent="0.2">
      <c r="A19" s="18"/>
      <c r="B19" s="20"/>
      <c r="C19" s="20"/>
      <c r="D19" s="20"/>
      <c r="E19" s="21"/>
      <c r="F19" s="9"/>
      <c r="G19" s="29"/>
      <c r="H19" s="29"/>
      <c r="I19" s="9"/>
      <c r="J19" s="9"/>
      <c r="K19" s="108"/>
    </row>
    <row r="20" spans="1:12" x14ac:dyDescent="0.2">
      <c r="A20" s="18"/>
      <c r="B20" s="20"/>
      <c r="C20" s="20"/>
      <c r="D20" s="20"/>
      <c r="E20" s="21"/>
      <c r="F20" s="9"/>
      <c r="G20" s="29"/>
      <c r="H20" s="29"/>
      <c r="I20" s="9"/>
      <c r="J20" s="9"/>
      <c r="K20" s="108"/>
    </row>
    <row r="21" spans="1:12" x14ac:dyDescent="0.2">
      <c r="A21" s="18"/>
      <c r="B21" s="20"/>
      <c r="C21" s="20"/>
      <c r="D21" s="20"/>
      <c r="E21" s="21"/>
      <c r="F21" s="9"/>
      <c r="G21" s="29"/>
      <c r="H21" s="29"/>
      <c r="I21" s="9"/>
      <c r="J21" s="9"/>
      <c r="K21" s="108"/>
    </row>
    <row r="22" spans="1:12" ht="13.5" thickBot="1" x14ac:dyDescent="0.25">
      <c r="A22" s="22"/>
      <c r="B22" s="24"/>
      <c r="C22" s="24"/>
      <c r="D22" s="24"/>
      <c r="E22" s="25"/>
      <c r="F22" s="9"/>
      <c r="G22" s="29"/>
      <c r="H22" s="29"/>
      <c r="I22" s="9"/>
      <c r="J22" s="9"/>
    </row>
    <row r="23" spans="1:12" ht="13.5" thickBot="1" x14ac:dyDescent="0.25">
      <c r="A23" s="9"/>
      <c r="B23" s="12"/>
      <c r="C23" s="9"/>
      <c r="D23" s="9"/>
      <c r="E23" s="9"/>
      <c r="F23" s="12"/>
      <c r="G23" s="12"/>
      <c r="H23" s="12"/>
      <c r="I23" s="12"/>
      <c r="J23" s="9"/>
      <c r="K23" s="9"/>
    </row>
    <row r="24" spans="1:12" s="107" customFormat="1" ht="39" thickBot="1" x14ac:dyDescent="0.25">
      <c r="A24" s="100"/>
      <c r="B24" s="101" t="s">
        <v>26</v>
      </c>
      <c r="C24" s="102" t="s">
        <v>85</v>
      </c>
      <c r="D24" s="103" t="s">
        <v>99</v>
      </c>
      <c r="E24" s="102" t="s">
        <v>91</v>
      </c>
      <c r="F24" s="103" t="s">
        <v>100</v>
      </c>
      <c r="G24" s="104" t="s">
        <v>101</v>
      </c>
      <c r="H24" s="105" t="s">
        <v>104</v>
      </c>
      <c r="I24" s="106" t="s">
        <v>103</v>
      </c>
      <c r="J24" s="106" t="s">
        <v>106</v>
      </c>
      <c r="K24" s="106"/>
      <c r="L24" s="107" t="s">
        <v>92</v>
      </c>
    </row>
    <row r="25" spans="1:12" ht="13.5" thickTop="1" x14ac:dyDescent="0.2">
      <c r="A25" s="18"/>
      <c r="B25" s="19"/>
      <c r="C25" s="26"/>
      <c r="D25" s="21"/>
      <c r="E25" s="19"/>
      <c r="F25" s="21"/>
      <c r="G25" s="98"/>
      <c r="I25" s="99"/>
      <c r="J25" s="99"/>
      <c r="K25" s="98"/>
    </row>
    <row r="26" spans="1:12" x14ac:dyDescent="0.2">
      <c r="A26" s="18"/>
      <c r="B26" s="19"/>
      <c r="C26" s="26"/>
      <c r="D26" s="21"/>
      <c r="E26" s="19"/>
      <c r="F26" s="21"/>
      <c r="G26" s="98"/>
      <c r="I26" s="99"/>
      <c r="J26" s="99"/>
      <c r="K26" s="99"/>
    </row>
    <row r="27" spans="1:12" x14ac:dyDescent="0.2">
      <c r="A27" s="18">
        <v>2017</v>
      </c>
      <c r="B27" s="19">
        <v>2254</v>
      </c>
      <c r="C27" s="26">
        <v>4.7870000000000003E-2</v>
      </c>
      <c r="D27" s="21">
        <v>19982</v>
      </c>
      <c r="E27" s="19">
        <v>902</v>
      </c>
      <c r="F27" s="21">
        <v>2778</v>
      </c>
      <c r="G27" s="98">
        <v>4895</v>
      </c>
      <c r="H27" s="11">
        <v>33065</v>
      </c>
      <c r="I27" s="99">
        <v>6.1589999999999998</v>
      </c>
      <c r="J27" s="99">
        <v>1043</v>
      </c>
      <c r="K27" s="98"/>
      <c r="L27" s="10">
        <v>722</v>
      </c>
    </row>
    <row r="28" spans="1:12" x14ac:dyDescent="0.2">
      <c r="A28" s="18">
        <v>2018</v>
      </c>
      <c r="B28" s="19">
        <v>2265</v>
      </c>
      <c r="C28" s="26">
        <v>4.6829999999999997E-2</v>
      </c>
      <c r="D28" s="21">
        <v>20142</v>
      </c>
      <c r="E28" s="19">
        <v>755</v>
      </c>
      <c r="F28" s="21">
        <v>2801</v>
      </c>
      <c r="G28" s="98">
        <v>4934</v>
      </c>
      <c r="H28" s="11">
        <v>33331</v>
      </c>
      <c r="I28" s="99">
        <v>6.1589999999999998</v>
      </c>
      <c r="J28" s="99">
        <v>1052</v>
      </c>
      <c r="K28" s="99"/>
      <c r="L28" s="10">
        <v>728</v>
      </c>
    </row>
    <row r="29" spans="1:12" x14ac:dyDescent="0.2">
      <c r="A29" s="18">
        <v>2019</v>
      </c>
      <c r="B29" s="19">
        <v>2477</v>
      </c>
      <c r="C29" s="26">
        <v>5.1470000000000002E-2</v>
      </c>
      <c r="D29" s="21">
        <v>20384</v>
      </c>
      <c r="E29" s="19">
        <v>661</v>
      </c>
      <c r="F29" s="21">
        <v>2835</v>
      </c>
      <c r="G29" s="98">
        <v>4993</v>
      </c>
      <c r="H29" s="11">
        <v>29752</v>
      </c>
      <c r="I29" s="99">
        <v>11.45</v>
      </c>
      <c r="J29" s="99">
        <v>0</v>
      </c>
      <c r="K29" s="98"/>
      <c r="L29" s="10">
        <v>737</v>
      </c>
    </row>
    <row r="30" spans="1:12" x14ac:dyDescent="0.2">
      <c r="A30" s="18">
        <v>2020</v>
      </c>
      <c r="B30" s="19">
        <v>2711</v>
      </c>
      <c r="C30" s="26">
        <v>5.672E-2</v>
      </c>
      <c r="D30" s="21">
        <v>20711</v>
      </c>
      <c r="E30" s="19">
        <v>543</v>
      </c>
      <c r="F30" s="21">
        <v>2881</v>
      </c>
      <c r="G30" s="98">
        <v>5073</v>
      </c>
      <c r="H30" s="11">
        <v>20233</v>
      </c>
      <c r="I30" s="99">
        <v>11.45</v>
      </c>
      <c r="J30" s="10">
        <v>0</v>
      </c>
      <c r="K30" s="98"/>
      <c r="L30" s="10">
        <v>749</v>
      </c>
    </row>
    <row r="31" spans="1:12" x14ac:dyDescent="0.2">
      <c r="A31" s="18">
        <v>2021</v>
      </c>
      <c r="B31" s="19">
        <v>2837</v>
      </c>
      <c r="C31" s="26">
        <v>5.9769999999999997E-2</v>
      </c>
      <c r="D31" s="21">
        <v>21043</v>
      </c>
      <c r="E31" s="19">
        <v>379</v>
      </c>
      <c r="F31" s="21">
        <v>2815</v>
      </c>
      <c r="G31" s="98">
        <v>5153</v>
      </c>
      <c r="H31" s="11">
        <v>29738</v>
      </c>
      <c r="I31" s="99">
        <v>11.45</v>
      </c>
      <c r="J31" s="99">
        <v>0</v>
      </c>
      <c r="K31" s="99"/>
      <c r="L31" s="10">
        <v>761</v>
      </c>
    </row>
    <row r="32" spans="1:12" x14ac:dyDescent="0.2">
      <c r="A32" s="18">
        <v>2022</v>
      </c>
      <c r="B32" s="19">
        <v>2888</v>
      </c>
      <c r="C32" s="95">
        <v>6.0069999999999998E-2</v>
      </c>
      <c r="D32" s="21">
        <v>21317</v>
      </c>
      <c r="E32" s="96">
        <v>193</v>
      </c>
      <c r="F32" s="21">
        <v>2354</v>
      </c>
      <c r="G32" s="98">
        <v>5219</v>
      </c>
      <c r="H32" s="11">
        <v>27349</v>
      </c>
      <c r="I32" s="99">
        <v>11.45</v>
      </c>
      <c r="J32" s="99">
        <v>0</v>
      </c>
      <c r="K32" s="98"/>
      <c r="L32" s="10">
        <v>771</v>
      </c>
    </row>
    <row r="33" spans="1:14" x14ac:dyDescent="0.2">
      <c r="A33" s="18">
        <v>2023</v>
      </c>
      <c r="B33" s="19"/>
      <c r="C33" s="20"/>
      <c r="D33" s="26"/>
      <c r="E33" s="19"/>
      <c r="F33" s="21"/>
      <c r="G33" s="9"/>
      <c r="H33" s="29"/>
      <c r="I33" s="29"/>
      <c r="J33" s="9"/>
      <c r="K33" s="12"/>
    </row>
    <row r="34" spans="1:14" x14ac:dyDescent="0.2">
      <c r="A34" s="18">
        <v>2024</v>
      </c>
      <c r="B34" s="19"/>
      <c r="C34" s="20"/>
      <c r="D34" s="26"/>
      <c r="E34" s="19"/>
      <c r="F34" s="21"/>
      <c r="G34" s="9"/>
      <c r="H34" s="29"/>
      <c r="I34" s="29"/>
      <c r="J34" s="9"/>
      <c r="K34" s="9"/>
    </row>
    <row r="35" spans="1:14" x14ac:dyDescent="0.2">
      <c r="A35" s="18">
        <v>2025</v>
      </c>
      <c r="B35" s="19"/>
      <c r="C35" s="20"/>
      <c r="D35" s="26"/>
      <c r="E35" s="19"/>
      <c r="F35" s="21"/>
      <c r="G35" s="9"/>
      <c r="H35" s="29"/>
      <c r="I35" s="29"/>
      <c r="J35" s="9"/>
      <c r="K35" s="9"/>
    </row>
    <row r="36" spans="1:14" x14ac:dyDescent="0.2">
      <c r="A36" s="18">
        <v>2026</v>
      </c>
      <c r="B36" s="19"/>
      <c r="C36" s="20"/>
      <c r="D36" s="20"/>
      <c r="E36" s="19"/>
      <c r="F36" s="21"/>
      <c r="G36" s="9"/>
      <c r="H36" s="29"/>
      <c r="I36" s="29"/>
      <c r="J36" s="9"/>
      <c r="K36" s="12"/>
    </row>
    <row r="37" spans="1:14" ht="13.5" thickBot="1" x14ac:dyDescent="0.25">
      <c r="A37" s="22">
        <v>2027</v>
      </c>
      <c r="B37" s="23"/>
      <c r="C37" s="24"/>
      <c r="D37" s="24"/>
      <c r="E37" s="23"/>
      <c r="F37" s="25"/>
      <c r="G37" s="9"/>
      <c r="H37" s="29"/>
      <c r="I37" s="29"/>
      <c r="J37" s="9"/>
      <c r="K37" s="9"/>
    </row>
    <row r="38" spans="1:14" x14ac:dyDescent="0.2">
      <c r="A38" s="18"/>
      <c r="B38" s="19"/>
      <c r="C38" s="20"/>
      <c r="D38" s="20"/>
      <c r="E38" s="20"/>
      <c r="F38" s="21"/>
      <c r="G38" s="9"/>
      <c r="H38" s="29"/>
      <c r="I38" s="29"/>
      <c r="J38" s="9"/>
      <c r="K38" s="9"/>
    </row>
    <row r="39" spans="1:14" x14ac:dyDescent="0.2">
      <c r="A39" s="18"/>
      <c r="B39" s="19"/>
      <c r="C39" s="20"/>
      <c r="D39" s="20"/>
      <c r="E39" s="20"/>
      <c r="F39" s="21"/>
      <c r="G39" s="9"/>
      <c r="H39" s="29"/>
      <c r="I39" s="29"/>
      <c r="J39" s="9"/>
      <c r="K39" s="9"/>
    </row>
    <row r="40" spans="1:14" ht="13.5" thickBot="1" x14ac:dyDescent="0.25">
      <c r="A40" s="22"/>
      <c r="B40" s="23"/>
      <c r="C40" s="24"/>
      <c r="D40" s="24"/>
      <c r="E40" s="24"/>
      <c r="F40" s="25"/>
      <c r="G40" s="9"/>
      <c r="H40" s="29"/>
      <c r="I40" s="29"/>
      <c r="J40" s="9"/>
      <c r="K40" s="9"/>
    </row>
    <row r="43" spans="1:14" x14ac:dyDescent="0.2">
      <c r="A43" s="9" t="s">
        <v>45</v>
      </c>
      <c r="B43" s="12"/>
      <c r="C43" s="9"/>
      <c r="D43" s="9"/>
      <c r="E43" s="9"/>
      <c r="F43" s="12" t="s">
        <v>60</v>
      </c>
      <c r="G43" s="12"/>
      <c r="H43" s="12" t="s">
        <v>105</v>
      </c>
      <c r="I43" s="12"/>
      <c r="J43" s="9"/>
      <c r="K43" s="9"/>
    </row>
    <row r="44" spans="1:14" x14ac:dyDescent="0.2">
      <c r="A44" s="9" t="s">
        <v>46</v>
      </c>
      <c r="B44" s="12" t="s">
        <v>27</v>
      </c>
      <c r="C44" s="9" t="s">
        <v>47</v>
      </c>
      <c r="D44" s="9" t="s">
        <v>48</v>
      </c>
      <c r="E44" s="9" t="s">
        <v>49</v>
      </c>
      <c r="F44" s="9" t="s">
        <v>61</v>
      </c>
      <c r="G44" s="12" t="s">
        <v>54</v>
      </c>
      <c r="H44" s="9" t="s">
        <v>61</v>
      </c>
      <c r="I44" s="9" t="s">
        <v>68</v>
      </c>
      <c r="J44" s="12" t="s">
        <v>54</v>
      </c>
      <c r="K44" s="12"/>
    </row>
    <row r="45" spans="1:14" x14ac:dyDescent="0.2">
      <c r="A45" s="18"/>
      <c r="B45" s="19"/>
      <c r="C45" s="26"/>
      <c r="D45" s="19"/>
      <c r="E45" s="26"/>
      <c r="F45" s="19"/>
      <c r="G45" s="19"/>
      <c r="H45" s="19"/>
      <c r="I45" s="26"/>
      <c r="J45" s="19"/>
      <c r="K45" s="30"/>
      <c r="L45" s="11"/>
      <c r="N45" s="11"/>
    </row>
    <row r="46" spans="1:14" x14ac:dyDescent="0.2">
      <c r="A46" s="18"/>
      <c r="B46" s="19"/>
      <c r="C46" s="26"/>
      <c r="D46" s="19"/>
      <c r="E46" s="26"/>
      <c r="F46" s="19"/>
      <c r="G46" s="19"/>
      <c r="H46" s="19"/>
      <c r="I46" s="26"/>
      <c r="J46" s="19"/>
      <c r="K46" s="30"/>
      <c r="L46" s="11"/>
      <c r="N46" s="11"/>
    </row>
    <row r="47" spans="1:14" x14ac:dyDescent="0.2">
      <c r="A47" s="18">
        <v>2017</v>
      </c>
      <c r="B47" s="19">
        <v>9309</v>
      </c>
      <c r="C47" s="26">
        <v>1.772E-2</v>
      </c>
      <c r="D47" s="19">
        <v>165</v>
      </c>
      <c r="E47" s="26">
        <v>0.28316999999999998</v>
      </c>
      <c r="F47" s="19">
        <v>20108</v>
      </c>
      <c r="G47" s="19">
        <v>3223</v>
      </c>
      <c r="H47" s="19">
        <v>32444</v>
      </c>
      <c r="I47" s="26">
        <v>3.5999999999999997E-2</v>
      </c>
      <c r="J47" s="19">
        <v>121972</v>
      </c>
      <c r="K47" s="30"/>
      <c r="L47" s="11"/>
      <c r="N47" s="11"/>
    </row>
    <row r="48" spans="1:14" x14ac:dyDescent="0.2">
      <c r="A48" s="18">
        <v>2018</v>
      </c>
      <c r="B48" s="19">
        <v>9468</v>
      </c>
      <c r="C48" s="26">
        <v>1.7639999999999999E-2</v>
      </c>
      <c r="D48" s="19">
        <v>167</v>
      </c>
      <c r="E48" s="26">
        <v>0.28064</v>
      </c>
      <c r="F48" s="19">
        <v>20450</v>
      </c>
      <c r="G48" s="19">
        <v>3249</v>
      </c>
      <c r="H48" s="19">
        <v>33112</v>
      </c>
      <c r="I48" s="26">
        <v>3.5999999999999997E-2</v>
      </c>
      <c r="J48" s="19">
        <v>123362</v>
      </c>
      <c r="K48" s="30"/>
      <c r="L48" s="11"/>
      <c r="N48" s="11"/>
    </row>
    <row r="49" spans="1:14" x14ac:dyDescent="0.2">
      <c r="A49" s="18">
        <v>2019</v>
      </c>
      <c r="B49" s="19">
        <v>9694</v>
      </c>
      <c r="C49" s="26">
        <v>1.754E-2</v>
      </c>
      <c r="D49" s="19">
        <v>170</v>
      </c>
      <c r="E49" s="26">
        <v>0.28711999999999999</v>
      </c>
      <c r="F49" s="19">
        <v>20940</v>
      </c>
      <c r="G49" s="19">
        <v>3399</v>
      </c>
      <c r="H49" s="19">
        <v>34060</v>
      </c>
      <c r="I49" s="26">
        <v>0.06</v>
      </c>
      <c r="J49" s="19">
        <v>90710</v>
      </c>
      <c r="K49" s="30"/>
      <c r="L49" s="11"/>
      <c r="N49" s="11"/>
    </row>
    <row r="50" spans="1:14" x14ac:dyDescent="0.2">
      <c r="A50" s="18">
        <v>2020</v>
      </c>
      <c r="B50" s="19">
        <v>9921</v>
      </c>
      <c r="C50" s="26">
        <v>2.8119999999999999E-2</v>
      </c>
      <c r="D50" s="19">
        <v>279</v>
      </c>
      <c r="E50" s="26">
        <v>0.28811999999999999</v>
      </c>
      <c r="F50" s="19">
        <v>21430</v>
      </c>
      <c r="G50" s="19">
        <v>3819</v>
      </c>
      <c r="H50" s="19">
        <v>34954</v>
      </c>
      <c r="I50" s="26">
        <v>0.06</v>
      </c>
      <c r="J50" s="19">
        <v>98605</v>
      </c>
      <c r="K50" s="30"/>
      <c r="L50" s="11"/>
      <c r="N50" s="11"/>
    </row>
    <row r="51" spans="1:14" x14ac:dyDescent="0.2">
      <c r="A51" s="18">
        <v>2021</v>
      </c>
      <c r="B51" s="19">
        <v>10109</v>
      </c>
      <c r="C51" s="26">
        <v>4.5809999999999997E-2</v>
      </c>
      <c r="D51" s="19">
        <v>463</v>
      </c>
      <c r="E51" s="26">
        <v>0.28771000000000002</v>
      </c>
      <c r="F51" s="19">
        <v>21835</v>
      </c>
      <c r="G51" s="19">
        <v>4205</v>
      </c>
      <c r="H51" s="19">
        <v>35652</v>
      </c>
      <c r="I51" s="26">
        <v>0.06</v>
      </c>
      <c r="J51" s="19">
        <v>105737</v>
      </c>
      <c r="K51" s="30"/>
      <c r="L51" s="11"/>
      <c r="N51" s="11"/>
    </row>
    <row r="52" spans="1:14" x14ac:dyDescent="0.2">
      <c r="A52" s="18">
        <v>2022</v>
      </c>
      <c r="B52" s="19">
        <v>10351</v>
      </c>
      <c r="C52" s="26">
        <v>4.5409999999999999E-2</v>
      </c>
      <c r="D52" s="19">
        <v>470</v>
      </c>
      <c r="E52" s="26">
        <v>0.28460999999999997</v>
      </c>
      <c r="F52" s="19">
        <v>22357</v>
      </c>
      <c r="G52" s="19">
        <v>4260</v>
      </c>
      <c r="H52" s="19">
        <v>36650</v>
      </c>
      <c r="I52" s="26">
        <v>5.8599999999999999E-2</v>
      </c>
      <c r="J52" s="19">
        <v>109347</v>
      </c>
      <c r="K52" s="30"/>
      <c r="L52" s="11"/>
      <c r="N52" s="11"/>
    </row>
    <row r="53" spans="1:14" x14ac:dyDescent="0.2">
      <c r="A53" s="18">
        <v>2023</v>
      </c>
      <c r="B53" s="19"/>
      <c r="C53" s="26"/>
      <c r="D53" s="19"/>
      <c r="E53" s="26"/>
      <c r="F53" s="19"/>
      <c r="G53" s="26"/>
      <c r="H53" s="19"/>
      <c r="I53" s="26"/>
      <c r="J53" s="19"/>
      <c r="K53" s="30"/>
      <c r="L53" s="11"/>
      <c r="N53" s="11"/>
    </row>
    <row r="54" spans="1:14" x14ac:dyDescent="0.2">
      <c r="A54" s="18">
        <v>2024</v>
      </c>
      <c r="B54" s="19"/>
      <c r="C54" s="26"/>
      <c r="D54" s="19"/>
      <c r="E54" s="26"/>
      <c r="F54" s="19"/>
      <c r="G54" s="26"/>
      <c r="H54" s="19"/>
      <c r="I54" s="26"/>
      <c r="J54" s="19"/>
      <c r="K54" s="30"/>
      <c r="L54" s="11"/>
      <c r="N54" s="11"/>
    </row>
    <row r="55" spans="1:14" x14ac:dyDescent="0.2">
      <c r="A55" s="18">
        <v>2025</v>
      </c>
      <c r="B55" s="19"/>
      <c r="C55" s="26"/>
      <c r="D55" s="19"/>
      <c r="E55" s="26"/>
      <c r="F55" s="19"/>
      <c r="G55" s="26"/>
      <c r="H55" s="19"/>
      <c r="I55" s="26"/>
      <c r="J55" s="19"/>
      <c r="K55" s="30"/>
      <c r="L55" s="11"/>
      <c r="N55" s="11"/>
    </row>
    <row r="56" spans="1:14" x14ac:dyDescent="0.2">
      <c r="A56" s="18">
        <v>2026</v>
      </c>
      <c r="B56" s="19"/>
      <c r="C56" s="26"/>
      <c r="D56" s="19"/>
      <c r="E56" s="26"/>
      <c r="F56" s="19"/>
      <c r="G56" s="26"/>
      <c r="H56" s="19"/>
      <c r="I56" s="26"/>
      <c r="J56" s="19"/>
      <c r="K56" s="30"/>
      <c r="L56" s="11"/>
      <c r="N56" s="11"/>
    </row>
    <row r="57" spans="1:14" ht="13.5" thickBot="1" x14ac:dyDescent="0.25">
      <c r="A57" s="22">
        <v>2027</v>
      </c>
      <c r="B57" s="23"/>
      <c r="C57" s="27"/>
      <c r="D57" s="28"/>
      <c r="E57" s="27"/>
      <c r="F57" s="23"/>
      <c r="G57" s="27"/>
      <c r="H57" s="23"/>
      <c r="I57" s="27"/>
      <c r="J57" s="23"/>
      <c r="K57" s="30"/>
      <c r="L57" s="11"/>
      <c r="N57" s="1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5"/>
  <dimension ref="A2:L46"/>
  <sheetViews>
    <sheetView topLeftCell="A10" workbookViewId="0">
      <selection activeCell="L39" sqref="L38:L39"/>
    </sheetView>
  </sheetViews>
  <sheetFormatPr defaultColWidth="8.85546875" defaultRowHeight="12.75" x14ac:dyDescent="0.2"/>
  <cols>
    <col min="1" max="1" width="8.7109375" style="60" bestFit="1" customWidth="1"/>
    <col min="2" max="2" width="12.28515625" style="60" bestFit="1" customWidth="1"/>
    <col min="3" max="3" width="12.85546875" style="60" bestFit="1" customWidth="1"/>
    <col min="4" max="4" width="8.28515625" style="60" customWidth="1"/>
    <col min="5" max="5" width="10.28515625" style="60" bestFit="1" customWidth="1"/>
    <col min="6" max="6" width="8.28515625" style="60" bestFit="1" customWidth="1"/>
    <col min="7" max="7" width="11.28515625" style="60" bestFit="1" customWidth="1"/>
    <col min="8" max="8" width="8.85546875" style="60"/>
    <col min="9" max="9" width="9.28515625" style="60" bestFit="1" customWidth="1"/>
    <col min="10" max="10" width="10.7109375" style="60" bestFit="1" customWidth="1"/>
    <col min="11" max="16384" width="8.85546875" style="60"/>
  </cols>
  <sheetData>
    <row r="2" spans="1:12" x14ac:dyDescent="0.2">
      <c r="A2" s="60" t="s">
        <v>96</v>
      </c>
      <c r="B2" s="60" t="s">
        <v>97</v>
      </c>
      <c r="C2" s="60" t="s">
        <v>102</v>
      </c>
    </row>
    <row r="3" spans="1:12" x14ac:dyDescent="0.2">
      <c r="A3" s="60">
        <f>'Voorlopige_Definitieve aanslag'!B4</f>
        <v>2022</v>
      </c>
      <c r="B3" s="91">
        <f>'Voorlopige_Definitieve aanslag'!E27</f>
        <v>0</v>
      </c>
      <c r="C3" s="97">
        <f>SUM('Voorlopige_Definitieve aanslag'!E8:E17)+(IF('Voorlopige_Definitieve aanslag'!F21=0,0,'Voorlopige_Definitieve aanslag'!E21))</f>
        <v>0</v>
      </c>
    </row>
    <row r="4" spans="1:12" x14ac:dyDescent="0.2">
      <c r="E4" s="91"/>
    </row>
    <row r="5" spans="1:12" x14ac:dyDescent="0.2">
      <c r="A5" s="60" t="s">
        <v>98</v>
      </c>
    </row>
    <row r="7" spans="1:12" ht="13.5" thickBot="1" x14ac:dyDescent="0.25">
      <c r="A7" s="112" t="s">
        <v>90</v>
      </c>
      <c r="B7" s="113"/>
      <c r="C7" s="112"/>
      <c r="D7" s="112"/>
      <c r="E7" s="112"/>
      <c r="F7" s="113"/>
      <c r="G7" s="113"/>
      <c r="H7" s="113"/>
      <c r="I7" s="113"/>
      <c r="J7" s="114"/>
      <c r="K7" s="114"/>
      <c r="L7" s="114"/>
    </row>
    <row r="8" spans="1:12" ht="13.5" thickBot="1" x14ac:dyDescent="0.25">
      <c r="A8" s="115"/>
      <c r="B8" s="116" t="s">
        <v>27</v>
      </c>
      <c r="C8" s="116" t="s">
        <v>27</v>
      </c>
      <c r="D8" s="116" t="s">
        <v>28</v>
      </c>
      <c r="E8" s="116" t="s">
        <v>28</v>
      </c>
      <c r="F8" s="116" t="s">
        <v>75</v>
      </c>
      <c r="G8" s="117" t="s">
        <v>75</v>
      </c>
      <c r="H8" s="116" t="s">
        <v>86</v>
      </c>
      <c r="I8" s="117" t="s">
        <v>75</v>
      </c>
      <c r="J8" s="114"/>
      <c r="K8" s="112" t="s">
        <v>107</v>
      </c>
      <c r="L8" s="112" t="s">
        <v>108</v>
      </c>
    </row>
    <row r="9" spans="1:12" ht="13.5" thickTop="1" x14ac:dyDescent="0.2">
      <c r="A9" s="60">
        <f>VLOOKUP(Berekeningen!$A$3,tarieven!$A$47:$L$57,1,FALSE)</f>
        <v>2022</v>
      </c>
      <c r="B9" s="60">
        <f>VLOOKUP(Berekeningen!$A$3,tarieven!$A$7:$L$17,2,FALSE)</f>
        <v>0.37069999999999997</v>
      </c>
      <c r="C9" s="60">
        <f>VLOOKUP(Berekeningen!$A$3,tarieven!$A$7:$L$17,3,FALSE)</f>
        <v>69398</v>
      </c>
      <c r="D9" s="60">
        <f>VLOOKUP(Berekeningen!$A$3,tarieven!$A$7:$L$17,4,FALSE)</f>
        <v>0.495</v>
      </c>
      <c r="E9" s="60">
        <f>VLOOKUP(Berekeningen!$A$3,tarieven!$A$7:$L$17,5,FALSE)</f>
        <v>10000000</v>
      </c>
      <c r="F9" s="60">
        <f>VLOOKUP(Berekeningen!$A$3,tarieven!$A$7:$L$17,6,FALSE)</f>
        <v>0</v>
      </c>
      <c r="G9" s="60">
        <f>VLOOKUP(Berekeningen!$A$3,tarieven!$A$7:$L$17,7,FALSE)</f>
        <v>10000000</v>
      </c>
      <c r="H9" s="60">
        <f>VLOOKUP(Berekeningen!$A$3,tarieven!$A$7:$L$17,8,FALSE)</f>
        <v>0</v>
      </c>
      <c r="I9" s="60">
        <f>VLOOKUP(Berekeningen!$A$3,tarieven!$A$7:$L$17,9,FALSE)</f>
        <v>0</v>
      </c>
      <c r="K9" s="60">
        <f>VLOOKUP(Berekeningen!$A$3,tarieven!$A$7:$L$17,11,FALSE)</f>
        <v>5.5E-2</v>
      </c>
      <c r="L9" s="60">
        <f>VLOOKUP(Berekeningen!$A$3,tarieven!$A$7:$L$17,12,FALSE)</f>
        <v>69706</v>
      </c>
    </row>
    <row r="10" spans="1:12" x14ac:dyDescent="0.2">
      <c r="K10" s="108"/>
      <c r="L10" s="10"/>
    </row>
    <row r="11" spans="1:12" x14ac:dyDescent="0.2">
      <c r="K11" s="108"/>
      <c r="L11" s="10"/>
    </row>
    <row r="12" spans="1:12" ht="13.5" thickBot="1" x14ac:dyDescent="0.25">
      <c r="A12" s="60" t="s">
        <v>42</v>
      </c>
      <c r="K12" s="108"/>
      <c r="L12" s="10"/>
    </row>
    <row r="13" spans="1:12" ht="39" thickBot="1" x14ac:dyDescent="0.25">
      <c r="A13" s="118"/>
      <c r="B13" s="119" t="s">
        <v>26</v>
      </c>
      <c r="C13" s="120" t="s">
        <v>85</v>
      </c>
      <c r="D13" s="109" t="s">
        <v>99</v>
      </c>
      <c r="E13" s="120" t="s">
        <v>91</v>
      </c>
      <c r="F13" s="109" t="s">
        <v>100</v>
      </c>
      <c r="G13" s="110" t="s">
        <v>101</v>
      </c>
      <c r="H13" s="110" t="s">
        <v>104</v>
      </c>
      <c r="I13" s="111" t="s">
        <v>103</v>
      </c>
      <c r="J13" s="111" t="s">
        <v>106</v>
      </c>
      <c r="K13" s="111"/>
      <c r="L13" s="111" t="s">
        <v>92</v>
      </c>
    </row>
    <row r="14" spans="1:12" ht="13.5" thickTop="1" x14ac:dyDescent="0.2">
      <c r="A14" s="60">
        <f>VLOOKUP(Berekeningen!$A$3,tarieven!$A$27:$L$37,1,FALSE)</f>
        <v>2022</v>
      </c>
      <c r="B14" s="60">
        <f>VLOOKUP(Berekeningen!$A$3,tarieven!$A$27:$L$37,2,FALSE)</f>
        <v>2888</v>
      </c>
      <c r="C14" s="60">
        <f>VLOOKUP(Berekeningen!$A$3,tarieven!$A$27:$L$37,3,FALSE)</f>
        <v>6.0069999999999998E-2</v>
      </c>
      <c r="D14" s="60">
        <f>VLOOKUP(Berekeningen!$A$3,tarieven!$A$27:$L$37,4,FALSE)</f>
        <v>21317</v>
      </c>
      <c r="E14" s="60">
        <f>VLOOKUP(Berekeningen!$A$3,tarieven!$A$27:$L$37,5,FALSE)</f>
        <v>193</v>
      </c>
      <c r="F14" s="60">
        <f>VLOOKUP(Berekeningen!$A$3,tarieven!$A$27:$L$37,6,FALSE)</f>
        <v>2354</v>
      </c>
      <c r="G14" s="60">
        <f>VLOOKUP(Berekeningen!$A$3,tarieven!$A$27:$L$37,7,FALSE)</f>
        <v>5219</v>
      </c>
      <c r="H14" s="60">
        <f>VLOOKUP(Berekeningen!$A$3,tarieven!$A$27:$L$37,8,FALSE)</f>
        <v>27349</v>
      </c>
      <c r="I14" s="60">
        <f>VLOOKUP(Berekeningen!$A$3,tarieven!$A$27:$L$37,10,FALSE)</f>
        <v>0</v>
      </c>
      <c r="J14" s="60">
        <f>VLOOKUP(Berekeningen!$A$3,tarieven!$A$27:$L$37,9,FALSE)</f>
        <v>11.45</v>
      </c>
      <c r="L14" s="60">
        <f>VLOOKUP(Berekeningen!$A$3,tarieven!$A$27:$L$37,12,FALSE)</f>
        <v>771</v>
      </c>
    </row>
    <row r="15" spans="1:12" x14ac:dyDescent="0.2">
      <c r="K15" s="108"/>
      <c r="L15" s="10"/>
    </row>
    <row r="16" spans="1:12" x14ac:dyDescent="0.2">
      <c r="K16" s="108"/>
      <c r="L16" s="10"/>
    </row>
    <row r="17" spans="1:10" x14ac:dyDescent="0.2">
      <c r="A17" s="9" t="s">
        <v>45</v>
      </c>
      <c r="B17" s="12"/>
      <c r="C17" s="9"/>
      <c r="D17" s="9"/>
      <c r="E17" s="9"/>
      <c r="F17" s="12" t="s">
        <v>60</v>
      </c>
      <c r="G17" s="12"/>
      <c r="H17" s="12" t="s">
        <v>105</v>
      </c>
      <c r="I17" s="12"/>
      <c r="J17" s="9"/>
    </row>
    <row r="18" spans="1:10" x14ac:dyDescent="0.2">
      <c r="A18" s="9" t="s">
        <v>46</v>
      </c>
      <c r="B18" s="12" t="s">
        <v>27</v>
      </c>
      <c r="C18" s="9" t="s">
        <v>47</v>
      </c>
      <c r="D18" s="9" t="s">
        <v>48</v>
      </c>
      <c r="E18" s="9" t="s">
        <v>49</v>
      </c>
      <c r="F18" s="9" t="s">
        <v>61</v>
      </c>
      <c r="G18" s="12" t="s">
        <v>54</v>
      </c>
      <c r="H18" s="9" t="s">
        <v>61</v>
      </c>
      <c r="I18" s="9" t="s">
        <v>68</v>
      </c>
      <c r="J18" s="12" t="s">
        <v>54</v>
      </c>
    </row>
    <row r="19" spans="1:10" x14ac:dyDescent="0.2">
      <c r="A19" s="60">
        <f>VLOOKUP(Berekeningen!$A$3,tarieven!$A$47:$L$57,1,FALSE)</f>
        <v>2022</v>
      </c>
      <c r="B19" s="60">
        <f>VLOOKUP(Berekeningen!$A$3,tarieven!$A$47:$L$57,2,FALSE)</f>
        <v>10351</v>
      </c>
      <c r="C19" s="60">
        <f>VLOOKUP(Berekeningen!$A$3,tarieven!$A$47:$L$57,3,FALSE)</f>
        <v>4.5409999999999999E-2</v>
      </c>
      <c r="D19" s="60">
        <f>VLOOKUP(Berekeningen!$A$3,tarieven!$A$47:$L$57,4,FALSE)</f>
        <v>470</v>
      </c>
      <c r="E19" s="60">
        <f>VLOOKUP(Berekeningen!$A$3,tarieven!$A$47:$L$57,5,FALSE)</f>
        <v>0.28460999999999997</v>
      </c>
      <c r="F19" s="60">
        <f>VLOOKUP(Berekeningen!$A$3,tarieven!$A$47:$L$57,6,FALSE)</f>
        <v>22357</v>
      </c>
      <c r="G19" s="60">
        <f>VLOOKUP(Berekeningen!$A$3,tarieven!$A$47:$L$57,7,FALSE)</f>
        <v>4260</v>
      </c>
      <c r="H19" s="60">
        <f>VLOOKUP(Berekeningen!$A$3,tarieven!$A$47:$L$57,8,FALSE)</f>
        <v>36650</v>
      </c>
      <c r="I19" s="60">
        <f>VLOOKUP(Berekeningen!$A$3,tarieven!$A$47:$L$57,9,FALSE)</f>
        <v>5.8599999999999999E-2</v>
      </c>
      <c r="J19" s="60">
        <f>VLOOKUP(Berekeningen!$A$3,tarieven!$A$47:$L$57,10,FALSE)</f>
        <v>109347</v>
      </c>
    </row>
    <row r="24" spans="1:10" x14ac:dyDescent="0.2">
      <c r="A24" s="60" t="s">
        <v>109</v>
      </c>
    </row>
    <row r="26" spans="1:10" x14ac:dyDescent="0.2">
      <c r="A26" s="60" t="s">
        <v>27</v>
      </c>
      <c r="C26" s="122">
        <f>B9</f>
        <v>0.37069999999999997</v>
      </c>
      <c r="D26" s="60" t="s">
        <v>36</v>
      </c>
      <c r="E26" s="60">
        <f>IF($B$3&lt;C9,B3,C9)</f>
        <v>0</v>
      </c>
      <c r="F26" s="60" t="s">
        <v>110</v>
      </c>
      <c r="G26" s="125">
        <f>ROUNDDOWN(E26*C26,0)</f>
        <v>0</v>
      </c>
    </row>
    <row r="27" spans="1:10" x14ac:dyDescent="0.2">
      <c r="A27" s="60" t="s">
        <v>28</v>
      </c>
      <c r="C27" s="123">
        <f>D9</f>
        <v>0.495</v>
      </c>
      <c r="D27" s="60" t="s">
        <v>36</v>
      </c>
      <c r="E27" s="60">
        <f>IF($B$3&lt; E9,B3-E26,E9-E26)</f>
        <v>0</v>
      </c>
      <c r="G27" s="125">
        <f t="shared" ref="G27:G29" si="0">ROUNDDOWN(E27*C27,0)</f>
        <v>0</v>
      </c>
    </row>
    <row r="28" spans="1:10" x14ac:dyDescent="0.2">
      <c r="A28" s="60" t="s">
        <v>75</v>
      </c>
      <c r="C28" s="123">
        <f>F9</f>
        <v>0</v>
      </c>
      <c r="D28" s="60" t="s">
        <v>36</v>
      </c>
      <c r="E28" s="60">
        <f>IF($B$3&lt;G9,B3-E27-E26,G9-E27-E26)</f>
        <v>0</v>
      </c>
      <c r="G28" s="125">
        <f t="shared" si="0"/>
        <v>0</v>
      </c>
    </row>
    <row r="29" spans="1:10" x14ac:dyDescent="0.2">
      <c r="A29" s="60" t="s">
        <v>86</v>
      </c>
      <c r="C29" s="123">
        <f>H9</f>
        <v>0</v>
      </c>
      <c r="D29" s="60" t="s">
        <v>36</v>
      </c>
      <c r="E29" s="60">
        <f>IF($B$3&lt;G9,0,B3-E28-E27-E26)</f>
        <v>0</v>
      </c>
      <c r="G29" s="125">
        <f t="shared" si="0"/>
        <v>0</v>
      </c>
    </row>
    <row r="30" spans="1:10" x14ac:dyDescent="0.2">
      <c r="G30" s="125"/>
    </row>
    <row r="31" spans="1:10" x14ac:dyDescent="0.2">
      <c r="G31" s="125">
        <f>SUM(G26:G30)</f>
        <v>0</v>
      </c>
    </row>
    <row r="32" spans="1:10" x14ac:dyDescent="0.2">
      <c r="G32" s="125"/>
    </row>
    <row r="33" spans="1:9" x14ac:dyDescent="0.2">
      <c r="A33" s="60" t="s">
        <v>26</v>
      </c>
      <c r="G33" s="125">
        <f>IF(B3&lt;0,0,IF(B3&lt;D14,B14,(Berekeningen!B14-(Berekeningen!B3-Berekeningen!D14)*Berekeningen!C14)))</f>
        <v>2888</v>
      </c>
    </row>
    <row r="36" spans="1:9" x14ac:dyDescent="0.2">
      <c r="A36" s="60" t="s">
        <v>3</v>
      </c>
    </row>
    <row r="37" spans="1:9" x14ac:dyDescent="0.2">
      <c r="E37" s="122">
        <f>C19</f>
        <v>4.5409999999999999E-2</v>
      </c>
      <c r="F37" s="60" t="s">
        <v>36</v>
      </c>
      <c r="G37" s="125">
        <f>IF($C$3&lt;$B$19,C3,"0")</f>
        <v>0</v>
      </c>
      <c r="I37" s="125">
        <f>ROUNDUP(G37*E37,0)</f>
        <v>0</v>
      </c>
    </row>
    <row r="38" spans="1:9" x14ac:dyDescent="0.2">
      <c r="C38" s="125" t="str">
        <f>IF(C3&lt;B19,"0",IF($C$3&lt;$F19,170,"0"))</f>
        <v>0</v>
      </c>
      <c r="D38" s="60" t="s">
        <v>112</v>
      </c>
      <c r="E38" s="122">
        <f>E19</f>
        <v>0.28460999999999997</v>
      </c>
      <c r="F38" s="60" t="s">
        <v>36</v>
      </c>
      <c r="G38" s="125" t="str">
        <f>IF(C3&lt;B19,"0",IF($C$3&lt;$F19,(C3-B19),"0"))</f>
        <v>0</v>
      </c>
      <c r="I38" s="125">
        <f>ROUNDUP(G38*E38,0)+C38</f>
        <v>0</v>
      </c>
    </row>
    <row r="39" spans="1:9" x14ac:dyDescent="0.2">
      <c r="G39" s="125"/>
      <c r="I39" s="60">
        <f>IF(AND(C3&gt;=F19,C3&lt;H19),G19,0)</f>
        <v>0</v>
      </c>
    </row>
    <row r="40" spans="1:9" x14ac:dyDescent="0.2">
      <c r="C40" s="60">
        <f>IF(AND(C3&gt;H19,C3&lt;J19),G19,0)</f>
        <v>0</v>
      </c>
      <c r="D40" s="60" t="s">
        <v>113</v>
      </c>
      <c r="E40" s="121">
        <f>I19</f>
        <v>5.8599999999999999E-2</v>
      </c>
      <c r="F40" s="60" t="s">
        <v>36</v>
      </c>
      <c r="G40" s="60">
        <f>IF(AND(C3&gt;H19,C3&lt;J19),C3-H19,0)</f>
        <v>0</v>
      </c>
      <c r="I40" s="60">
        <f>ROUNDUP(C40-(G40*E40),0)</f>
        <v>0</v>
      </c>
    </row>
    <row r="41" spans="1:9" x14ac:dyDescent="0.2">
      <c r="I41" s="60">
        <f>SUM(I36:I40)</f>
        <v>0</v>
      </c>
    </row>
    <row r="44" spans="1:9" x14ac:dyDescent="0.2">
      <c r="A44" s="60" t="s">
        <v>114</v>
      </c>
      <c r="I44" s="60">
        <f>ROUNDUP(IF(C3&lt;G14,0,(IF(AND(C3&gt;=G14,C3&lt;H14),(C3-G14)*J14%,F14))),0)</f>
        <v>0</v>
      </c>
    </row>
    <row r="45" spans="1:9" x14ac:dyDescent="0.2">
      <c r="A45" s="60" t="s">
        <v>117</v>
      </c>
    </row>
    <row r="46" spans="1:9" x14ac:dyDescent="0.2">
      <c r="A46" s="60" t="s">
        <v>118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6"/>
  <dimension ref="A1:I27"/>
  <sheetViews>
    <sheetView topLeftCell="A7" zoomScale="160" zoomScaleNormal="160" workbookViewId="0">
      <selection activeCell="G7" sqref="G7"/>
    </sheetView>
  </sheetViews>
  <sheetFormatPr defaultColWidth="9.140625" defaultRowHeight="12.75" x14ac:dyDescent="0.2"/>
  <cols>
    <col min="1" max="1" width="12.28515625" style="2" bestFit="1" customWidth="1"/>
    <col min="2" max="2" width="9.28515625" style="2" bestFit="1" customWidth="1"/>
    <col min="3" max="3" width="12.85546875" style="2" bestFit="1" customWidth="1"/>
    <col min="4" max="5" width="9.140625" style="2"/>
    <col min="6" max="7" width="11.85546875" style="2" bestFit="1" customWidth="1"/>
    <col min="8" max="8" width="9.140625" style="2"/>
    <col min="9" max="9" width="16.85546875" style="2" bestFit="1" customWidth="1"/>
    <col min="10" max="16384" width="9.140625" style="2"/>
  </cols>
  <sheetData>
    <row r="1" spans="1:9" x14ac:dyDescent="0.2">
      <c r="A1" s="2" t="s">
        <v>46</v>
      </c>
      <c r="B1" s="2">
        <f>'Voorlopige_Definitieve aanslag'!B4</f>
        <v>2022</v>
      </c>
    </row>
    <row r="5" spans="1:9" x14ac:dyDescent="0.2">
      <c r="A5" s="2" t="s">
        <v>27</v>
      </c>
      <c r="C5" s="3">
        <f>VLOOKUP($B$1,Belastingtarieven2!$A$27:$J$39,2)</f>
        <v>10351</v>
      </c>
      <c r="E5" s="2" t="s">
        <v>53</v>
      </c>
    </row>
    <row r="6" spans="1:9" x14ac:dyDescent="0.2">
      <c r="A6" s="2" t="s">
        <v>51</v>
      </c>
      <c r="C6" s="4">
        <f>VLOOKUP($B$1,Belastingtarieven2!$A$27:$J$39,3)</f>
        <v>2.3480000000000001E-2</v>
      </c>
      <c r="E6" s="2" t="s">
        <v>72</v>
      </c>
      <c r="G6" s="5">
        <f>SUM('Voorlopige_Definitieve aanslag'!E8:'Voorlopige_Definitieve aanslag'!E14)</f>
        <v>0</v>
      </c>
    </row>
    <row r="7" spans="1:9" x14ac:dyDescent="0.2">
      <c r="A7" s="2" t="s">
        <v>63</v>
      </c>
      <c r="C7" s="3">
        <f>VLOOKUP($B$1,Belastingtarieven2!$A$27:$J$39,4)</f>
        <v>470</v>
      </c>
      <c r="E7" s="2" t="s">
        <v>73</v>
      </c>
      <c r="G7" s="6">
        <f>SUM('Voorlopige_Definitieve aanslag'!E16:E17)</f>
        <v>0</v>
      </c>
    </row>
    <row r="8" spans="1:9" x14ac:dyDescent="0.2">
      <c r="A8" s="2" t="s">
        <v>52</v>
      </c>
      <c r="C8" s="4">
        <f>VLOOKUP($B$1,Belastingtarieven2!$A$27:$J$39,5)</f>
        <v>0.28460999999999997</v>
      </c>
      <c r="G8" s="7">
        <f>SUM(G6:G7)</f>
        <v>0</v>
      </c>
    </row>
    <row r="9" spans="1:9" x14ac:dyDescent="0.2">
      <c r="A9" s="2" t="s">
        <v>65</v>
      </c>
      <c r="C9" s="3">
        <f>VLOOKUP($B$1,Belastingtarieven2!$A$27:$J$39,6)</f>
        <v>22357</v>
      </c>
    </row>
    <row r="10" spans="1:9" x14ac:dyDescent="0.2">
      <c r="A10" s="2" t="s">
        <v>74</v>
      </c>
      <c r="C10" s="3">
        <f>CEILING((C9-C5)*C8,2)</f>
        <v>3418</v>
      </c>
    </row>
    <row r="11" spans="1:9" x14ac:dyDescent="0.2">
      <c r="A11" s="2" t="s">
        <v>64</v>
      </c>
      <c r="C11" s="4">
        <f>VLOOKUP($B$1,Belastingtarieven2!$A$27:$J$39,7)</f>
        <v>2.6100000000000002E-2</v>
      </c>
      <c r="E11" s="2" t="s">
        <v>27</v>
      </c>
      <c r="G11" s="2" t="s">
        <v>77</v>
      </c>
      <c r="I11" s="2" t="s">
        <v>35</v>
      </c>
    </row>
    <row r="12" spans="1:9" x14ac:dyDescent="0.2">
      <c r="A12" s="2" t="s">
        <v>69</v>
      </c>
      <c r="C12" s="3">
        <f>VLOOKUP($B$1,Belastingtarieven2!$A$27:$J$39,8)</f>
        <v>36650</v>
      </c>
      <c r="F12" s="2">
        <f>IF(G8&gt;C5,C5,G8)</f>
        <v>0</v>
      </c>
      <c r="G12" s="4">
        <f>C6</f>
        <v>2.3480000000000001E-2</v>
      </c>
      <c r="I12" s="2">
        <f>IF(F12*G12&gt;C16,C16,ROUND(F12*G12,0))</f>
        <v>0</v>
      </c>
    </row>
    <row r="13" spans="1:9" x14ac:dyDescent="0.2">
      <c r="A13" s="2" t="s">
        <v>70</v>
      </c>
      <c r="C13" s="4">
        <f>VLOOKUP($B$1,Belastingtarieven2!$A$27:$J$39,9)</f>
        <v>5.8599999999999999E-2</v>
      </c>
    </row>
    <row r="14" spans="1:9" x14ac:dyDescent="0.2">
      <c r="A14" s="2" t="s">
        <v>71</v>
      </c>
      <c r="C14" s="3">
        <f>VLOOKUP($B$1,Belastingtarieven2!$A$27:$J$39,10)</f>
        <v>4260</v>
      </c>
    </row>
    <row r="16" spans="1:9" x14ac:dyDescent="0.2">
      <c r="A16" s="2" t="s">
        <v>63</v>
      </c>
      <c r="C16" s="3">
        <f>C7</f>
        <v>470</v>
      </c>
      <c r="E16" s="2" t="s">
        <v>28</v>
      </c>
    </row>
    <row r="17" spans="1:9" x14ac:dyDescent="0.2">
      <c r="A17" s="2" t="s">
        <v>74</v>
      </c>
      <c r="C17" s="3">
        <f>CEILING((C9-C5)*C8,2)</f>
        <v>3418</v>
      </c>
      <c r="F17" s="2">
        <f>IF(G8&lt;C5,0,IF(G8&gt;C9,C9-C5,G8-C5))</f>
        <v>0</v>
      </c>
      <c r="G17" s="4">
        <f>C8</f>
        <v>0.28460999999999997</v>
      </c>
      <c r="I17" s="2">
        <f>IF(F17*G17&gt;C17,C17,ROUND(F17*G17,0))</f>
        <v>0</v>
      </c>
    </row>
    <row r="18" spans="1:9" x14ac:dyDescent="0.2">
      <c r="A18" s="2" t="s">
        <v>66</v>
      </c>
      <c r="C18" s="3">
        <f>CEILING((C12-C9)*C11,2)</f>
        <v>374</v>
      </c>
    </row>
    <row r="19" spans="1:9" x14ac:dyDescent="0.2">
      <c r="C19" s="3">
        <f>SUM(C16:C18)</f>
        <v>4262</v>
      </c>
    </row>
    <row r="21" spans="1:9" x14ac:dyDescent="0.2">
      <c r="E21" s="2" t="s">
        <v>75</v>
      </c>
    </row>
    <row r="22" spans="1:9" x14ac:dyDescent="0.2">
      <c r="F22" s="8">
        <f>IF(G8&gt;=C12,C12-C9,IF(G8-C12&lt;0,0,G8-C12))</f>
        <v>0</v>
      </c>
      <c r="G22" s="4">
        <f>C11</f>
        <v>2.6100000000000002E-2</v>
      </c>
      <c r="I22" s="2">
        <f>IF(F22*G22&gt;C18,C18,ROUND(F22*G22,0))</f>
        <v>0</v>
      </c>
    </row>
    <row r="23" spans="1:9" x14ac:dyDescent="0.2">
      <c r="F23" s="2">
        <f>SUM(F12:F22)</f>
        <v>0</v>
      </c>
    </row>
    <row r="25" spans="1:9" x14ac:dyDescent="0.2">
      <c r="E25" s="2" t="s">
        <v>76</v>
      </c>
    </row>
    <row r="26" spans="1:9" x14ac:dyDescent="0.2">
      <c r="F26" s="2">
        <f>IF(G8&gt;C12,G8-C12,0)</f>
        <v>0</v>
      </c>
      <c r="G26" s="4">
        <f>C13</f>
        <v>5.8599999999999999E-2</v>
      </c>
      <c r="I26" s="8">
        <f>FLOOR(F26*G26,1)*-1</f>
        <v>0</v>
      </c>
    </row>
    <row r="27" spans="1:9" x14ac:dyDescent="0.2">
      <c r="I27" s="2">
        <f>SUM(I12:I26)</f>
        <v>0</v>
      </c>
    </row>
  </sheetData>
  <pageMargins left="0.7" right="0.7" top="0.75" bottom="0.75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F3CCD1F26F664BA20980533B7A5F36" ma:contentTypeVersion="9" ma:contentTypeDescription="Een nieuw document maken." ma:contentTypeScope="" ma:versionID="d0d27dfa949facec173d1ed75ebf6d26">
  <xsd:schema xmlns:xsd="http://www.w3.org/2001/XMLSchema" xmlns:xs="http://www.w3.org/2001/XMLSchema" xmlns:p="http://schemas.microsoft.com/office/2006/metadata/properties" xmlns:ns2="77208d76-74ef-4048-b6b4-646fa5ac37f5" targetNamespace="http://schemas.microsoft.com/office/2006/metadata/properties" ma:root="true" ma:fieldsID="737b88072c8c88d202c53346c0b26e13" ns2:_="">
    <xsd:import namespace="77208d76-74ef-4048-b6b4-646fa5ac37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208d76-74ef-4048-b6b4-646fa5ac37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5FC827-AC49-4ABE-B062-D9DC242348C0}">
  <ds:schemaRefs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77208d76-74ef-4048-b6b4-646fa5ac37f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3753706-06A6-429F-A87B-C4E3A11653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208d76-74ef-4048-b6b4-646fa5ac37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DCAA43-4CD3-44F5-B4B5-9471A0CC2C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Voorlopige_Definitieve aanslag</vt:lpstr>
      <vt:lpstr>Gekorte Heffingskortingen</vt:lpstr>
      <vt:lpstr>Belastingtarieven2</vt:lpstr>
      <vt:lpstr>tarieven</vt:lpstr>
      <vt:lpstr>Berekeningen</vt:lpstr>
      <vt:lpstr>Berekening Arb.korting</vt:lpstr>
    </vt:vector>
  </TitlesOfParts>
  <Company>Gemeente Midden-drenthe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WAH</dc:creator>
  <cp:lastModifiedBy>Roberto Reali</cp:lastModifiedBy>
  <cp:lastPrinted>2022-04-05T20:51:22Z</cp:lastPrinted>
  <dcterms:created xsi:type="dcterms:W3CDTF">2010-12-15T14:52:56Z</dcterms:created>
  <dcterms:modified xsi:type="dcterms:W3CDTF">2022-08-16T13:39:39Z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0x01010082F3CCD1F26F664BA20980533B7A5F36</vt:lpwstr>
  </property>
</Properties>
</file>