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groep-my.sharepoint.com/personal/rreali_wyzer_nl/Documents/Documenten - kopie/Wyzerberekeningen/2022/"/>
    </mc:Choice>
  </mc:AlternateContent>
  <xr:revisionPtr revIDLastSave="263" documentId="8_{ABBE6204-14EC-4DBA-896C-9FDA56C5F84C}" xr6:coauthVersionLast="47" xr6:coauthVersionMax="47" xr10:uidLastSave="{94E96EAA-5877-49B9-AD4D-2C764BC62E0E}"/>
  <workbookProtection workbookAlgorithmName="SHA-512" workbookHashValue="w32tGOMw7NsvNjumGrbIsFvPEQcpcTyrs81JX3wzwLvqjdcpvMek0kiYxPll/3FTQq3H7UIMitLqy4gW4QkMfQ==" workbookSaltValue="bUkN9466i11DQA/65Lie5Q==" workbookSpinCount="100000" lockStructure="1"/>
  <bookViews>
    <workbookView xWindow="-120" yWindow="-120" windowWidth="29040" windowHeight="15840" firstSheet="1" activeTab="1" xr2:uid="{5CFA1742-11C0-4665-9AD7-7C604D961CEE}"/>
  </bookViews>
  <sheets>
    <sheet name="gegevens" sheetId="1" state="hidden" r:id="rId1"/>
    <sheet name="normen" sheetId="3" r:id="rId2"/>
  </sheets>
  <definedNames>
    <definedName name="_xlnm._FilterDatabase" localSheetId="0" hidden="1">gegevens!$C$36:$C$46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3" l="1"/>
  <c r="I49" i="3"/>
  <c r="I50" i="3"/>
  <c r="H48" i="3"/>
  <c r="H49" i="3"/>
  <c r="H50" i="3"/>
  <c r="G48" i="3"/>
  <c r="G49" i="3"/>
  <c r="G50" i="3"/>
  <c r="E31" i="3" l="1"/>
  <c r="E30" i="3"/>
  <c r="B31" i="3"/>
  <c r="B59" i="3"/>
  <c r="B30" i="3"/>
  <c r="B27" i="3"/>
  <c r="B26" i="3"/>
  <c r="B23" i="3"/>
  <c r="B19" i="3"/>
  <c r="B18" i="3"/>
  <c r="B12" i="3"/>
  <c r="B60" i="3" l="1"/>
  <c r="B22" i="3"/>
  <c r="B61" i="3" l="1"/>
  <c r="B36" i="3"/>
  <c r="C26" i="3"/>
  <c r="D26" i="3" s="1"/>
  <c r="B37" i="3"/>
  <c r="B38" i="3"/>
  <c r="C30" i="3"/>
  <c r="D30" i="3" s="1"/>
  <c r="C31" i="3"/>
  <c r="D31" i="3" s="1"/>
  <c r="C27" i="3"/>
  <c r="D27" i="3" s="1"/>
  <c r="B39" i="3"/>
  <c r="C23" i="3"/>
  <c r="D23" i="3" s="1"/>
  <c r="B35" i="3"/>
  <c r="C19" i="3"/>
  <c r="D19" i="3" s="1"/>
  <c r="B13" i="3"/>
  <c r="B14" i="3"/>
  <c r="B17" i="3"/>
  <c r="C12" i="3"/>
  <c r="D12" i="3" s="1"/>
  <c r="H31" i="3" l="1"/>
  <c r="I31" i="3"/>
  <c r="G31" i="3"/>
  <c r="G26" i="3"/>
  <c r="H26" i="3"/>
  <c r="I26" i="3"/>
  <c r="I27" i="3"/>
  <c r="G27" i="3"/>
  <c r="H27" i="3"/>
  <c r="I30" i="3"/>
  <c r="G30" i="3"/>
  <c r="H30" i="3"/>
  <c r="G23" i="3"/>
  <c r="H23" i="3"/>
  <c r="I23" i="3"/>
  <c r="H12" i="3"/>
  <c r="I12" i="3"/>
  <c r="G12" i="3"/>
  <c r="G19" i="3"/>
  <c r="H19" i="3"/>
  <c r="I19" i="3"/>
  <c r="B55" i="3"/>
  <c r="B54" i="3"/>
  <c r="B53" i="3"/>
  <c r="B56" i="3"/>
  <c r="B52" i="3"/>
  <c r="C14" i="3"/>
  <c r="D14" i="3" s="1"/>
  <c r="B43" i="3"/>
  <c r="C39" i="3"/>
  <c r="D39" i="3" s="1"/>
  <c r="C37" i="3"/>
  <c r="D37" i="3" s="1"/>
  <c r="C38" i="3"/>
  <c r="D38" i="3" s="1"/>
  <c r="B44" i="3"/>
  <c r="C36" i="3"/>
  <c r="D36" i="3" s="1"/>
  <c r="B45" i="3"/>
  <c r="C22" i="3"/>
  <c r="D22" i="3" s="1"/>
  <c r="B46" i="3"/>
  <c r="B47" i="3"/>
  <c r="C35" i="3"/>
  <c r="D35" i="3" s="1"/>
  <c r="C13" i="3"/>
  <c r="D13" i="3" s="1"/>
  <c r="C17" i="3"/>
  <c r="D17" i="3" s="1"/>
  <c r="I13" i="3" l="1"/>
  <c r="G13" i="3"/>
  <c r="H13" i="3"/>
  <c r="H17" i="3"/>
  <c r="G17" i="3"/>
  <c r="I17" i="3"/>
  <c r="G38" i="3"/>
  <c r="H38" i="3"/>
  <c r="I38" i="3"/>
  <c r="H35" i="3"/>
  <c r="I35" i="3"/>
  <c r="G35" i="3"/>
  <c r="G39" i="3"/>
  <c r="H39" i="3"/>
  <c r="I39" i="3"/>
  <c r="H37" i="3"/>
  <c r="I37" i="3"/>
  <c r="G37" i="3"/>
  <c r="H22" i="3"/>
  <c r="G22" i="3"/>
  <c r="I22" i="3"/>
  <c r="G14" i="3"/>
  <c r="H14" i="3"/>
  <c r="I14" i="3"/>
  <c r="G36" i="3"/>
  <c r="H36" i="3"/>
  <c r="I36" i="3"/>
  <c r="C54" i="3"/>
  <c r="D54" i="3" s="1"/>
  <c r="C45" i="3"/>
  <c r="D45" i="3" s="1"/>
  <c r="C53" i="3"/>
  <c r="D53" i="3" s="1"/>
  <c r="C43" i="3"/>
  <c r="D43" i="3" s="1"/>
  <c r="C52" i="3"/>
  <c r="D52" i="3" s="1"/>
  <c r="C44" i="3"/>
  <c r="D44" i="3" s="1"/>
  <c r="C46" i="3"/>
  <c r="D46" i="3" s="1"/>
  <c r="C47" i="3"/>
  <c r="D47" i="3" s="1"/>
  <c r="C55" i="3"/>
  <c r="D55" i="3" s="1"/>
  <c r="C56" i="3"/>
  <c r="D56" i="3" s="1"/>
  <c r="C18" i="3"/>
  <c r="D18" i="3" s="1"/>
  <c r="I43" i="3" l="1"/>
  <c r="G43" i="3"/>
  <c r="H43" i="3"/>
  <c r="H18" i="3"/>
  <c r="G18" i="3"/>
  <c r="I18" i="3"/>
  <c r="H54" i="3"/>
  <c r="I54" i="3"/>
  <c r="G54" i="3"/>
  <c r="H45" i="3"/>
  <c r="I45" i="3"/>
  <c r="G45" i="3"/>
  <c r="I53" i="3"/>
  <c r="G53" i="3"/>
  <c r="H53" i="3"/>
  <c r="I55" i="3"/>
  <c r="G55" i="3"/>
  <c r="H55" i="3"/>
  <c r="G47" i="3"/>
  <c r="H47" i="3"/>
  <c r="I47" i="3"/>
  <c r="I46" i="3"/>
  <c r="G46" i="3"/>
  <c r="H46" i="3"/>
  <c r="I52" i="3"/>
  <c r="G52" i="3"/>
  <c r="H52" i="3"/>
  <c r="G56" i="3"/>
  <c r="H56" i="3"/>
  <c r="I56" i="3"/>
  <c r="I44" i="3"/>
  <c r="G44" i="3"/>
  <c r="H44" i="3"/>
</calcChain>
</file>

<file path=xl/sharedStrings.xml><?xml version="1.0" encoding="utf-8"?>
<sst xmlns="http://schemas.openxmlformats.org/spreadsheetml/2006/main" count="78" uniqueCount="55">
  <si>
    <t>Norm incl vt</t>
  </si>
  <si>
    <t>vt 5%</t>
  </si>
  <si>
    <t>a. alleenstaande 18, 19 of 20 jaar</t>
  </si>
  <si>
    <t>b. gehuwden of samenwonend, beide 18, 19 of 20 jaar</t>
  </si>
  <si>
    <t>c. gehuwden of samenwonend, één 18, 19 of 20, ander 21+</t>
  </si>
  <si>
    <t>a. alleenstaande ouder 18, 19 of 20 jaar</t>
  </si>
  <si>
    <t>a. alleenstaande of alleenstaande ouder geen kostendeler</t>
  </si>
  <si>
    <t>Normen pensioengerechtigden</t>
  </si>
  <si>
    <t xml:space="preserve">a. alleenstaande of alleenstaande ouder </t>
  </si>
  <si>
    <t>Normen in inrichting (artikel 23 Participatiewet)</t>
  </si>
  <si>
    <t>a. alleenstaande of alleenstaande ouder</t>
  </si>
  <si>
    <t>b. gehuwden of samenwonend</t>
  </si>
  <si>
    <t xml:space="preserve">KostendelersNormen 21 tot pensioengerechtigde leeftijd  </t>
  </si>
  <si>
    <t>Huishoudtype</t>
  </si>
  <si>
    <t>Bijstandsnorm</t>
  </si>
  <si>
    <t>Tweepersoonshuishouden</t>
  </si>
  <si>
    <t>Driepersoonshuishouden</t>
  </si>
  <si>
    <t>Vierpersoonshuishouden</t>
  </si>
  <si>
    <t>Vijfpersoonshuishouden</t>
  </si>
  <si>
    <t>Zespersoonshuishouden</t>
  </si>
  <si>
    <t xml:space="preserve">Vermogensgrenzen </t>
  </si>
  <si>
    <t xml:space="preserve"> alleenstaande</t>
  </si>
  <si>
    <t xml:space="preserve"> alleenstaande ouder</t>
  </si>
  <si>
    <t xml:space="preserve"> gehuwden tezamen</t>
  </si>
  <si>
    <t>jaar</t>
  </si>
  <si>
    <t>gehuwdennorm</t>
  </si>
  <si>
    <t>norm allst &lt;21</t>
  </si>
  <si>
    <t xml:space="preserve">norm </t>
  </si>
  <si>
    <t>norm alsst pgl</t>
  </si>
  <si>
    <t>nrom geh pgl</t>
  </si>
  <si>
    <t>verhogong kd nrom &lt;21 met kinderne</t>
  </si>
  <si>
    <t>n0rm in inrichting</t>
  </si>
  <si>
    <t>vermogen gehuwden</t>
  </si>
  <si>
    <t>allst</t>
  </si>
  <si>
    <t>geh</t>
  </si>
  <si>
    <t>norm excl  vt</t>
  </si>
  <si>
    <t xml:space="preserve">geh &lt;21 met kinderen </t>
  </si>
  <si>
    <t>norm 1 &lt;21, 1 &gt;21met kinderen</t>
  </si>
  <si>
    <t>verhoging inr</t>
  </si>
  <si>
    <t>verh inr norm allst</t>
  </si>
  <si>
    <t>Verhoging</t>
  </si>
  <si>
    <t>KostendelersNormen 1 partner &lt;21, 1partner &gt;21, zonder kinderen</t>
  </si>
  <si>
    <t>Jongeren zonder ten laste komende kinderen</t>
  </si>
  <si>
    <t>Jongeren met ten laste komende kinderen</t>
  </si>
  <si>
    <t>Normen 21 tot pensioengerechtigde leeftijd (geen kostendeler)</t>
  </si>
  <si>
    <t>b. gehuwden of samenwonend;  één of beiden pensioengerechtigd</t>
  </si>
  <si>
    <t>b. gehuwden of samenwonend,  beiden niet pensioengerechtigd</t>
  </si>
  <si>
    <t>KostendelersNormen 1 partner &lt;21, 1partner &gt;21, met kinderen</t>
  </si>
  <si>
    <t>Bijstandsnorm Per persoon:</t>
  </si>
  <si>
    <t>Bijstandsnormen per :</t>
  </si>
  <si>
    <t xml:space="preserve">Bijzondere bijstand / Minimaregelingen </t>
  </si>
  <si>
    <t>inclusief</t>
  </si>
  <si>
    <t xml:space="preserve">exclusief </t>
  </si>
  <si>
    <t>Draagkracht  op basis van norm inclusief of exclusief  vt ?</t>
  </si>
  <si>
    <t>Vul in de grijze vakjes de van toepassing zijnde percentages 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</si>
</sst>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€&quot;\ #,##0.00;[Red]&quot;€&quot;\ \-#,##0.00"/>
  </numFmts>
  <fonts count="1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474747"/>
      <name val="Fira Sans"/>
      <family val="2"/>
    </font>
    <font>
      <sz val="10"/>
      <color rgb="FF002060"/>
      <name val="Tahoma"/>
      <family val="2"/>
    </font>
    <font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0"/>
      <color rgb="FF002060"/>
      <name val="Arial"/>
      <family val="2"/>
    </font>
    <font>
      <sz val="11"/>
      <color rgb="FF002060"/>
      <name val="Calibri"/>
      <family val="2"/>
      <scheme val="minor"/>
    </font>
    <font>
      <sz val="10"/>
      <color rgb="FF002060"/>
      <name val="Arial"/>
      <family val="2"/>
    </font>
    <font>
      <b/>
      <sz val="14"/>
      <color rgb="FF7030A0"/>
      <name val="Arial"/>
      <family val="2"/>
    </font>
    <font>
      <b/>
      <sz val="12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3">
    <xf numFmtId="0" fontId="0" fillId="0" borderId="0" xfId="0"/>
    <xf numFmtId="2" fontId="0" fillId="0" borderId="0" xfId="0" applyNumberFormat="1"/>
    <xf numFmtId="0" fontId="0" fillId="3" borderId="0" xfId="0" applyFill="1"/>
    <xf numFmtId="0" fontId="0" fillId="4" borderId="0" xfId="0" applyFill="1"/>
    <xf numFmtId="14" fontId="0" fillId="0" borderId="3" xfId="0" applyNumberFormat="1" applyBorder="1"/>
    <xf numFmtId="2" fontId="0" fillId="0" borderId="3" xfId="0" applyNumberFormat="1" applyBorder="1"/>
    <xf numFmtId="0" fontId="0" fillId="0" borderId="3" xfId="0" applyBorder="1"/>
    <xf numFmtId="14" fontId="0" fillId="4" borderId="3" xfId="0" applyNumberFormat="1" applyFill="1" applyBorder="1"/>
    <xf numFmtId="2" fontId="0" fillId="4" borderId="3" xfId="0" applyNumberFormat="1" applyFill="1" applyBorder="1"/>
    <xf numFmtId="14" fontId="0" fillId="3" borderId="3" xfId="0" applyNumberFormat="1" applyFill="1" applyBorder="1"/>
    <xf numFmtId="2" fontId="0" fillId="3" borderId="3" xfId="0" applyNumberFormat="1" applyFill="1" applyBorder="1"/>
    <xf numFmtId="0" fontId="4" fillId="0" borderId="0" xfId="0" applyFont="1"/>
    <xf numFmtId="4" fontId="4" fillId="0" borderId="0" xfId="0" applyNumberFormat="1" applyFont="1"/>
    <xf numFmtId="4" fontId="0" fillId="4" borderId="3" xfId="0" applyNumberFormat="1" applyFill="1" applyBorder="1"/>
    <xf numFmtId="15" fontId="8" fillId="0" borderId="0" xfId="1" applyNumberFormat="1" applyFont="1" applyFill="1" applyProtection="1">
      <protection locked="0"/>
    </xf>
    <xf numFmtId="0" fontId="8" fillId="3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10" fillId="0" borderId="0" xfId="0" applyFont="1" applyFill="1" applyProtection="1"/>
    <xf numFmtId="0" fontId="8" fillId="3" borderId="0" xfId="0" applyFont="1" applyFill="1" applyProtection="1"/>
    <xf numFmtId="0" fontId="8" fillId="0" borderId="0" xfId="0" applyFont="1" applyFill="1" applyAlignment="1" applyProtection="1">
      <alignment wrapText="1"/>
    </xf>
    <xf numFmtId="0" fontId="6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12" fillId="0" borderId="1" xfId="0" applyFont="1" applyFill="1" applyBorder="1" applyAlignment="1" applyProtection="1">
      <alignment wrapText="1"/>
    </xf>
    <xf numFmtId="0" fontId="8" fillId="3" borderId="0" xfId="0" applyFont="1" applyFill="1" applyBorder="1" applyAlignment="1" applyProtection="1">
      <alignment wrapText="1"/>
    </xf>
    <xf numFmtId="0" fontId="8" fillId="0" borderId="1" xfId="0" applyFont="1" applyFill="1" applyBorder="1" applyProtection="1"/>
    <xf numFmtId="0" fontId="8" fillId="3" borderId="0" xfId="0" applyFont="1" applyFill="1" applyBorder="1" applyProtection="1"/>
    <xf numFmtId="0" fontId="8" fillId="3" borderId="9" xfId="0" applyFont="1" applyFill="1" applyBorder="1" applyProtection="1"/>
    <xf numFmtId="8" fontId="8" fillId="0" borderId="1" xfId="1" applyNumberFormat="1" applyFont="1" applyFill="1" applyBorder="1" applyProtection="1"/>
    <xf numFmtId="8" fontId="8" fillId="0" borderId="1" xfId="0" applyNumberFormat="1" applyFont="1" applyFill="1" applyBorder="1" applyProtection="1"/>
    <xf numFmtId="8" fontId="8" fillId="3" borderId="0" xfId="0" applyNumberFormat="1" applyFont="1" applyFill="1" applyBorder="1" applyProtection="1"/>
    <xf numFmtId="8" fontId="8" fillId="3" borderId="9" xfId="0" applyNumberFormat="1" applyFont="1" applyFill="1" applyBorder="1" applyProtection="1"/>
    <xf numFmtId="8" fontId="8" fillId="0" borderId="4" xfId="0" applyNumberFormat="1" applyFont="1" applyFill="1" applyBorder="1" applyProtection="1"/>
    <xf numFmtId="8" fontId="8" fillId="0" borderId="2" xfId="0" applyNumberFormat="1" applyFont="1" applyFill="1" applyBorder="1" applyProtection="1"/>
    <xf numFmtId="8" fontId="8" fillId="0" borderId="5" xfId="0" applyNumberFormat="1" applyFont="1" applyFill="1" applyBorder="1" applyProtection="1"/>
    <xf numFmtId="0" fontId="8" fillId="0" borderId="4" xfId="0" applyFont="1" applyFill="1" applyBorder="1" applyProtection="1"/>
    <xf numFmtId="8" fontId="8" fillId="3" borderId="1" xfId="0" applyNumberFormat="1" applyFont="1" applyFill="1" applyBorder="1" applyProtection="1"/>
    <xf numFmtId="8" fontId="8" fillId="3" borderId="1" xfId="1" applyNumberFormat="1" applyFont="1" applyFill="1" applyBorder="1" applyProtection="1"/>
    <xf numFmtId="0" fontId="8" fillId="0" borderId="2" xfId="0" applyFont="1" applyFill="1" applyBorder="1" applyProtection="1"/>
    <xf numFmtId="0" fontId="12" fillId="0" borderId="1" xfId="0" applyFont="1" applyFill="1" applyBorder="1" applyProtection="1"/>
    <xf numFmtId="8" fontId="9" fillId="0" borderId="1" xfId="0" applyNumberFormat="1" applyFont="1" applyFill="1" applyBorder="1" applyAlignment="1" applyProtection="1">
      <alignment vertical="center" wrapText="1"/>
    </xf>
    <xf numFmtId="0" fontId="7" fillId="0" borderId="6" xfId="0" applyFont="1" applyFill="1" applyBorder="1" applyProtection="1"/>
    <xf numFmtId="8" fontId="8" fillId="0" borderId="7" xfId="0" applyNumberFormat="1" applyFont="1" applyFill="1" applyBorder="1" applyProtection="1"/>
    <xf numFmtId="8" fontId="8" fillId="0" borderId="8" xfId="0" applyNumberFormat="1" applyFont="1" applyFill="1" applyBorder="1" applyProtection="1"/>
    <xf numFmtId="0" fontId="7" fillId="0" borderId="1" xfId="0" applyFont="1" applyFill="1" applyBorder="1" applyProtection="1"/>
    <xf numFmtId="8" fontId="8" fillId="0" borderId="9" xfId="1" applyNumberFormat="1" applyFont="1" applyFill="1" applyBorder="1" applyProtection="1"/>
    <xf numFmtId="8" fontId="8" fillId="3" borderId="0" xfId="0" applyNumberFormat="1" applyFont="1" applyFill="1" applyProtection="1"/>
    <xf numFmtId="8" fontId="8" fillId="0" borderId="9" xfId="0" applyNumberFormat="1" applyFont="1" applyFill="1" applyBorder="1" applyProtection="1"/>
    <xf numFmtId="0" fontId="13" fillId="3" borderId="0" xfId="0" applyFont="1" applyFill="1" applyProtection="1"/>
    <xf numFmtId="0" fontId="5" fillId="3" borderId="0" xfId="0" applyFont="1" applyFill="1" applyProtection="1"/>
    <xf numFmtId="9" fontId="8" fillId="3" borderId="0" xfId="0" applyNumberFormat="1" applyFont="1" applyFill="1" applyProtection="1"/>
    <xf numFmtId="0" fontId="2" fillId="0" borderId="0" xfId="0" applyFont="1" applyFill="1" applyBorder="1" applyProtection="1">
      <protection locked="0"/>
    </xf>
    <xf numFmtId="4" fontId="0" fillId="0" borderId="3" xfId="0" applyNumberFormat="1" applyBorder="1"/>
    <xf numFmtId="4" fontId="1" fillId="4" borderId="3" xfId="1" applyNumberFormat="1" applyFill="1" applyBorder="1"/>
    <xf numFmtId="4" fontId="3" fillId="4" borderId="3" xfId="0" applyNumberFormat="1" applyFont="1" applyFill="1" applyBorder="1"/>
    <xf numFmtId="4" fontId="0" fillId="3" borderId="3" xfId="0" applyNumberFormat="1" applyFill="1" applyBorder="1"/>
    <xf numFmtId="4" fontId="1" fillId="3" borderId="3" xfId="1" applyNumberFormat="1" applyFill="1" applyBorder="1"/>
    <xf numFmtId="4" fontId="3" fillId="3" borderId="3" xfId="0" applyNumberFormat="1" applyFont="1" applyFill="1" applyBorder="1"/>
    <xf numFmtId="4" fontId="0" fillId="4" borderId="0" xfId="0" applyNumberFormat="1" applyFill="1"/>
    <xf numFmtId="0" fontId="11" fillId="4" borderId="9" xfId="1" applyFont="1" applyFill="1" applyBorder="1" applyProtection="1">
      <protection locked="0"/>
    </xf>
    <xf numFmtId="0" fontId="12" fillId="0" borderId="4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5" xfId="0" applyFont="1" applyFill="1" applyBorder="1" applyAlignment="1" applyProtection="1"/>
  </cellXfs>
  <cellStyles count="2">
    <cellStyle name="Goed" xfId="1" builtinId="26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Drop" dropStyle="combo" dx="22" fmlaLink="$C$6" fmlaRange="gegevens!$A$4:$A$35" noThreeD="1" sel="4" val="3"/>
</file>

<file path=xl/ctrlProps/ctrlProp2.xml><?xml version="1.0" encoding="utf-8"?>
<formControlPr xmlns="http://schemas.microsoft.com/office/spreadsheetml/2009/9/main" objectType="Drop" dropLines="2" dropStyle="combo" dx="22" fmlaLink="$M$7" fmlaRange="gegevens!$A$50:$A$51" noThreeD="1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4057650</xdr:colOff>
          <xdr:row>5</xdr:row>
          <xdr:rowOff>38100</xdr:rowOff>
        </xdr:from>
        <xdr:to>
          <xdr:col>2</xdr:col>
          <xdr:colOff>19050</xdr:colOff>
          <xdr:row>6</xdr:row>
          <xdr:rowOff>38100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4048125</xdr:colOff>
      <xdr:row>0</xdr:row>
      <xdr:rowOff>161925</xdr:rowOff>
    </xdr:from>
    <xdr:to>
      <xdr:col>4</xdr:col>
      <xdr:colOff>48610</xdr:colOff>
      <xdr:row>4</xdr:row>
      <xdr:rowOff>52254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8125" y="161925"/>
          <a:ext cx="2572735" cy="65232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6</xdr:row>
          <xdr:rowOff>38100</xdr:rowOff>
        </xdr:from>
        <xdr:to>
          <xdr:col>12</xdr:col>
          <xdr:colOff>19050</xdr:colOff>
          <xdr:row>7</xdr:row>
          <xdr:rowOff>0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05E14-DB66-47DE-9FCB-5A1C1D24D790}">
  <sheetPr codeName="Blad3"/>
  <dimension ref="A1:N51"/>
  <sheetViews>
    <sheetView workbookViewId="0">
      <selection activeCell="C23" sqref="C23"/>
    </sheetView>
  </sheetViews>
  <sheetFormatPr defaultRowHeight="15" x14ac:dyDescent="0.25"/>
  <cols>
    <col min="2" max="2" width="9.140625" style="1"/>
    <col min="3" max="13" width="19.28515625" customWidth="1"/>
    <col min="14" max="14" width="9.5703125" bestFit="1" customWidth="1"/>
  </cols>
  <sheetData>
    <row r="1" spans="1:14" x14ac:dyDescent="0.25">
      <c r="A1" t="s">
        <v>24</v>
      </c>
      <c r="C1" t="s">
        <v>25</v>
      </c>
      <c r="D1" t="s">
        <v>26</v>
      </c>
      <c r="E1" t="s">
        <v>27</v>
      </c>
      <c r="F1" t="s">
        <v>37</v>
      </c>
      <c r="G1" t="s">
        <v>28</v>
      </c>
      <c r="H1" t="s">
        <v>29</v>
      </c>
      <c r="I1" t="s">
        <v>30</v>
      </c>
      <c r="J1" t="s">
        <v>31</v>
      </c>
      <c r="K1" t="s">
        <v>39</v>
      </c>
      <c r="M1" t="s">
        <v>38</v>
      </c>
      <c r="N1" t="s">
        <v>32</v>
      </c>
    </row>
    <row r="2" spans="1:14" x14ac:dyDescent="0.25">
      <c r="E2" t="s">
        <v>36</v>
      </c>
      <c r="J2" t="s">
        <v>33</v>
      </c>
      <c r="L2" t="s">
        <v>34</v>
      </c>
      <c r="N2" t="s">
        <v>33</v>
      </c>
    </row>
    <row r="4" spans="1:14" x14ac:dyDescent="0.25">
      <c r="A4" s="4">
        <v>44562</v>
      </c>
      <c r="B4" s="5">
        <v>1</v>
      </c>
      <c r="C4" s="52">
        <v>1559.58</v>
      </c>
      <c r="D4" s="52">
        <v>269.51</v>
      </c>
      <c r="E4" s="52">
        <v>850.94</v>
      </c>
      <c r="F4" s="52">
        <v>1361.22</v>
      </c>
      <c r="G4" s="52">
        <v>1213.1600000000001</v>
      </c>
      <c r="H4" s="52">
        <v>1652.54</v>
      </c>
      <c r="I4" s="52">
        <v>581.42999999999995</v>
      </c>
      <c r="J4" s="52">
        <v>345.68</v>
      </c>
      <c r="K4" s="52">
        <v>34</v>
      </c>
      <c r="L4" s="52">
        <v>537.69000000000005</v>
      </c>
      <c r="M4" s="52">
        <v>79</v>
      </c>
      <c r="N4" s="52">
        <v>6505</v>
      </c>
    </row>
    <row r="5" spans="1:14" s="3" customFormat="1" ht="15.75" x14ac:dyDescent="0.25">
      <c r="A5" s="7">
        <v>44378</v>
      </c>
      <c r="B5" s="8">
        <v>2</v>
      </c>
      <c r="C5" s="13">
        <v>1541</v>
      </c>
      <c r="D5" s="53">
        <v>266.29000000000002</v>
      </c>
      <c r="E5" s="53">
        <v>840.78</v>
      </c>
      <c r="F5" s="53">
        <v>1344.99</v>
      </c>
      <c r="G5" s="53">
        <v>1199.08</v>
      </c>
      <c r="H5" s="53">
        <v>1627.08</v>
      </c>
      <c r="I5" s="54">
        <v>574.49</v>
      </c>
      <c r="J5" s="53">
        <v>341.55</v>
      </c>
      <c r="K5" s="53">
        <v>34</v>
      </c>
      <c r="L5" s="53">
        <v>531.26</v>
      </c>
      <c r="M5" s="53">
        <v>76</v>
      </c>
      <c r="N5" s="53">
        <v>6295</v>
      </c>
    </row>
    <row r="6" spans="1:14" s="3" customFormat="1" x14ac:dyDescent="0.25">
      <c r="A6" s="7">
        <v>44197</v>
      </c>
      <c r="B6" s="8">
        <v>3</v>
      </c>
      <c r="C6" s="13">
        <v>1536.34</v>
      </c>
      <c r="D6" s="13">
        <v>265.49</v>
      </c>
      <c r="E6" s="13">
        <v>838.25</v>
      </c>
      <c r="F6" s="13">
        <v>1340.93</v>
      </c>
      <c r="G6" s="53">
        <v>1195.97</v>
      </c>
      <c r="H6" s="53">
        <v>1620.74</v>
      </c>
      <c r="I6" s="13">
        <v>572.76</v>
      </c>
      <c r="J6" s="13">
        <v>340.53</v>
      </c>
      <c r="K6" s="13">
        <v>34</v>
      </c>
      <c r="L6" s="13">
        <v>529.66999999999996</v>
      </c>
      <c r="M6" s="13">
        <v>76</v>
      </c>
      <c r="N6" s="53">
        <v>6295</v>
      </c>
    </row>
    <row r="7" spans="1:14" s="2" customFormat="1" ht="15.75" x14ac:dyDescent="0.25">
      <c r="A7" s="9">
        <v>44013</v>
      </c>
      <c r="B7" s="10">
        <v>4</v>
      </c>
      <c r="C7" s="55">
        <v>1512.9</v>
      </c>
      <c r="D7" s="56">
        <v>261.44</v>
      </c>
      <c r="E7" s="56">
        <v>825.46</v>
      </c>
      <c r="F7" s="56">
        <v>1320.47</v>
      </c>
      <c r="G7" s="56">
        <v>1184.26</v>
      </c>
      <c r="H7" s="56">
        <v>1606.88</v>
      </c>
      <c r="I7" s="57">
        <v>564.02</v>
      </c>
      <c r="J7" s="56">
        <v>335.33</v>
      </c>
      <c r="K7" s="56">
        <v>33</v>
      </c>
      <c r="L7" s="56">
        <v>521.59</v>
      </c>
      <c r="M7" s="56">
        <v>74</v>
      </c>
      <c r="N7" s="56">
        <v>6225</v>
      </c>
    </row>
    <row r="8" spans="1:14" s="2" customFormat="1" x14ac:dyDescent="0.25">
      <c r="A8" s="9">
        <v>43831</v>
      </c>
      <c r="B8" s="10">
        <v>5</v>
      </c>
      <c r="C8" s="55">
        <v>1503.31</v>
      </c>
      <c r="D8" s="55">
        <v>259.77999999999997</v>
      </c>
      <c r="E8" s="55">
        <v>820.22</v>
      </c>
      <c r="F8" s="55">
        <v>1312.1</v>
      </c>
      <c r="G8" s="55">
        <v>1176.25</v>
      </c>
      <c r="H8" s="55">
        <v>1594.42</v>
      </c>
      <c r="I8" s="55">
        <v>560.44000000000005</v>
      </c>
      <c r="J8" s="55">
        <v>333.2</v>
      </c>
      <c r="K8" s="55">
        <v>33</v>
      </c>
      <c r="L8" s="55">
        <v>518.27</v>
      </c>
      <c r="M8" s="55">
        <v>74</v>
      </c>
      <c r="N8" s="56">
        <v>6225</v>
      </c>
    </row>
    <row r="9" spans="1:14" s="3" customFormat="1" x14ac:dyDescent="0.25">
      <c r="A9" s="7">
        <v>43647</v>
      </c>
      <c r="B9" s="8">
        <v>6</v>
      </c>
      <c r="C9" s="12">
        <v>1472.03</v>
      </c>
      <c r="D9" s="13">
        <v>254.39</v>
      </c>
      <c r="E9" s="13">
        <v>803.19</v>
      </c>
      <c r="F9" s="13">
        <v>1284.82</v>
      </c>
      <c r="G9" s="13">
        <v>1154.03</v>
      </c>
      <c r="H9" s="13">
        <v>1571.5</v>
      </c>
      <c r="I9" s="13">
        <v>548.79999999999995</v>
      </c>
      <c r="J9" s="13">
        <v>326.27999999999997</v>
      </c>
      <c r="K9" s="13">
        <v>35</v>
      </c>
      <c r="L9" s="13">
        <v>507.51</v>
      </c>
      <c r="M9" s="13">
        <v>75</v>
      </c>
      <c r="N9" s="13">
        <v>6120</v>
      </c>
    </row>
    <row r="10" spans="1:14" s="3" customFormat="1" x14ac:dyDescent="0.25">
      <c r="A10" s="7">
        <v>43466</v>
      </c>
      <c r="B10" s="8">
        <v>7</v>
      </c>
      <c r="C10" s="12">
        <v>1465.07</v>
      </c>
      <c r="D10" s="13">
        <v>253.17</v>
      </c>
      <c r="E10" s="13">
        <v>799.35</v>
      </c>
      <c r="F10" s="13">
        <v>1278.72</v>
      </c>
      <c r="G10" s="13">
        <v>1147.8</v>
      </c>
      <c r="H10" s="13">
        <v>1563.46</v>
      </c>
      <c r="I10" s="13">
        <v>546.17999999999995</v>
      </c>
      <c r="J10" s="13">
        <v>324.72000000000003</v>
      </c>
      <c r="K10" s="13">
        <v>35</v>
      </c>
      <c r="L10" s="13">
        <v>505.09</v>
      </c>
      <c r="M10" s="13">
        <v>75</v>
      </c>
      <c r="N10" s="13">
        <v>6120</v>
      </c>
    </row>
    <row r="11" spans="1:14" x14ac:dyDescent="0.25">
      <c r="A11" s="4">
        <v>43282</v>
      </c>
      <c r="B11" s="5">
        <v>8</v>
      </c>
      <c r="C11" s="12">
        <v>1423.66</v>
      </c>
      <c r="D11" s="52">
        <v>246.01</v>
      </c>
      <c r="E11" s="52">
        <v>776.75</v>
      </c>
      <c r="F11" s="52">
        <v>1242.57</v>
      </c>
      <c r="G11" s="52">
        <v>1121.43</v>
      </c>
      <c r="H11" s="52">
        <v>1533.18</v>
      </c>
      <c r="I11" s="52">
        <v>530.74</v>
      </c>
      <c r="J11" s="52">
        <v>315.54000000000002</v>
      </c>
      <c r="K11" s="52">
        <v>34</v>
      </c>
      <c r="L11" s="52">
        <v>490.81</v>
      </c>
      <c r="M11" s="52">
        <v>81</v>
      </c>
      <c r="N11" s="52">
        <v>6020</v>
      </c>
    </row>
    <row r="12" spans="1:14" x14ac:dyDescent="0.25">
      <c r="A12" s="4">
        <v>43101</v>
      </c>
      <c r="B12" s="5">
        <v>9</v>
      </c>
      <c r="C12" s="12">
        <v>1417.32</v>
      </c>
      <c r="D12" s="52">
        <v>244.91</v>
      </c>
      <c r="E12" s="52">
        <v>773.28</v>
      </c>
      <c r="F12" s="52">
        <v>1237.03</v>
      </c>
      <c r="G12" s="52">
        <v>11515.48</v>
      </c>
      <c r="H12" s="52">
        <v>1525.44</v>
      </c>
      <c r="I12" s="52">
        <v>528.37</v>
      </c>
      <c r="J12" s="52">
        <v>314.13</v>
      </c>
      <c r="K12" s="52">
        <v>34</v>
      </c>
      <c r="L12" s="52">
        <v>488.61</v>
      </c>
      <c r="M12" s="52">
        <v>81</v>
      </c>
      <c r="N12" s="52">
        <v>6020</v>
      </c>
    </row>
    <row r="13" spans="1:14" s="3" customFormat="1" x14ac:dyDescent="0.25">
      <c r="A13" s="7">
        <v>42917</v>
      </c>
      <c r="B13" s="8">
        <v>10</v>
      </c>
      <c r="C13" s="12">
        <v>1409.31</v>
      </c>
      <c r="D13" s="13">
        <v>243.52</v>
      </c>
      <c r="E13" s="13">
        <v>768.9</v>
      </c>
      <c r="F13" s="13">
        <v>1230.04</v>
      </c>
      <c r="G13" s="13">
        <v>1108.48</v>
      </c>
      <c r="H13" s="13">
        <v>1514.74</v>
      </c>
      <c r="I13" s="13">
        <v>525.38</v>
      </c>
      <c r="J13" s="13">
        <v>312.35000000000002</v>
      </c>
      <c r="K13" s="13">
        <v>39</v>
      </c>
      <c r="L13" s="13">
        <v>485.84</v>
      </c>
      <c r="M13" s="13">
        <v>85</v>
      </c>
      <c r="N13" s="13">
        <v>5940</v>
      </c>
    </row>
    <row r="14" spans="1:14" s="3" customFormat="1" x14ac:dyDescent="0.25">
      <c r="A14" s="7">
        <v>42736</v>
      </c>
      <c r="B14" s="8">
        <v>11</v>
      </c>
      <c r="C14" s="12">
        <v>1403.98</v>
      </c>
      <c r="D14" s="13">
        <v>242.6</v>
      </c>
      <c r="E14" s="13">
        <v>766</v>
      </c>
      <c r="F14" s="13">
        <v>1225.3900000000001</v>
      </c>
      <c r="G14" s="13">
        <v>1104.1400000000001</v>
      </c>
      <c r="H14" s="13">
        <v>1508.06</v>
      </c>
      <c r="I14" s="13">
        <v>523.4</v>
      </c>
      <c r="J14" s="13">
        <v>311.17</v>
      </c>
      <c r="K14" s="13">
        <v>39</v>
      </c>
      <c r="L14" s="13">
        <v>484</v>
      </c>
      <c r="M14" s="13">
        <v>85</v>
      </c>
      <c r="N14" s="13">
        <v>5940</v>
      </c>
    </row>
    <row r="15" spans="1:14" x14ac:dyDescent="0.25">
      <c r="A15" s="4">
        <v>42552</v>
      </c>
      <c r="B15" s="5">
        <v>12</v>
      </c>
      <c r="C15" s="12">
        <v>1395.03</v>
      </c>
      <c r="D15" s="52">
        <v>241.2</v>
      </c>
      <c r="E15" s="52">
        <v>761.59</v>
      </c>
      <c r="F15" s="52">
        <v>1218.3599999999999</v>
      </c>
      <c r="G15" s="52">
        <v>1098.32</v>
      </c>
      <c r="H15" s="52">
        <v>1499.56</v>
      </c>
      <c r="I15" s="52">
        <v>520.39</v>
      </c>
      <c r="J15" s="52">
        <v>309.38</v>
      </c>
      <c r="K15" s="13">
        <v>39</v>
      </c>
      <c r="L15" s="52">
        <v>481.21</v>
      </c>
      <c r="M15" s="52">
        <v>86</v>
      </c>
      <c r="N15" s="52">
        <v>5920</v>
      </c>
    </row>
    <row r="16" spans="1:14" x14ac:dyDescent="0.25">
      <c r="A16" s="4">
        <v>42370</v>
      </c>
      <c r="B16" s="5">
        <v>13</v>
      </c>
      <c r="C16" s="12">
        <v>1389.57</v>
      </c>
      <c r="D16" s="52">
        <v>240.1</v>
      </c>
      <c r="E16" s="52">
        <v>758.11</v>
      </c>
      <c r="F16" s="52">
        <v>1212.8</v>
      </c>
      <c r="G16" s="52">
        <v>1092.8699999999999</v>
      </c>
      <c r="H16" s="13">
        <v>1492.96</v>
      </c>
      <c r="I16" s="52">
        <v>518.01</v>
      </c>
      <c r="J16" s="52">
        <v>307.95999999999998</v>
      </c>
      <c r="K16" s="13">
        <v>39</v>
      </c>
      <c r="L16" s="52">
        <v>479.01</v>
      </c>
      <c r="M16" s="52">
        <v>86</v>
      </c>
      <c r="N16" s="52">
        <v>5920</v>
      </c>
    </row>
    <row r="17" spans="1:14" s="3" customFormat="1" x14ac:dyDescent="0.25">
      <c r="A17" s="7">
        <v>42186</v>
      </c>
      <c r="B17" s="8">
        <v>14</v>
      </c>
      <c r="C17" s="12">
        <v>1375.18</v>
      </c>
      <c r="D17" s="13">
        <v>237.61</v>
      </c>
      <c r="E17" s="13">
        <v>750.26</v>
      </c>
      <c r="F17" s="13">
        <v>1200.24</v>
      </c>
      <c r="G17" s="58">
        <v>1079.78</v>
      </c>
      <c r="H17" s="13">
        <v>1476.4</v>
      </c>
      <c r="I17" s="13">
        <v>512.65</v>
      </c>
      <c r="J17" s="13">
        <v>304.76</v>
      </c>
      <c r="K17" s="13">
        <v>39</v>
      </c>
      <c r="L17" s="13">
        <v>474.03</v>
      </c>
      <c r="M17" s="13">
        <v>85</v>
      </c>
      <c r="N17" s="13">
        <v>5895</v>
      </c>
    </row>
    <row r="18" spans="1:14" s="3" customFormat="1" x14ac:dyDescent="0.25">
      <c r="A18" s="7">
        <v>42005</v>
      </c>
      <c r="B18" s="8">
        <v>15</v>
      </c>
      <c r="C18" s="12">
        <v>1372.62</v>
      </c>
      <c r="D18" s="13">
        <v>237.16</v>
      </c>
      <c r="E18" s="13">
        <v>748.84</v>
      </c>
      <c r="F18" s="13">
        <v>1197.99</v>
      </c>
      <c r="G18" s="13">
        <v>1077.6300000000001</v>
      </c>
      <c r="H18" s="13">
        <v>1471.68</v>
      </c>
      <c r="I18" s="13">
        <v>511.68</v>
      </c>
      <c r="J18" s="13">
        <v>304.18</v>
      </c>
      <c r="K18" s="13">
        <v>39</v>
      </c>
      <c r="L18" s="13">
        <v>473.13</v>
      </c>
      <c r="M18" s="13">
        <v>85</v>
      </c>
      <c r="N18" s="13">
        <v>5895</v>
      </c>
    </row>
    <row r="27" spans="1:14" x14ac:dyDescent="0.25">
      <c r="A27" s="6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25">
      <c r="A28" s="6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x14ac:dyDescent="0.25">
      <c r="A29" s="6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x14ac:dyDescent="0.25">
      <c r="A30" s="6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7" spans="3:3" x14ac:dyDescent="0.25">
      <c r="C37" s="11"/>
    </row>
    <row r="38" spans="3:3" x14ac:dyDescent="0.25">
      <c r="C38" s="11"/>
    </row>
    <row r="39" spans="3:3" x14ac:dyDescent="0.25">
      <c r="C39" s="12"/>
    </row>
    <row r="40" spans="3:3" x14ac:dyDescent="0.25">
      <c r="C40" s="11"/>
    </row>
    <row r="41" spans="3:3" x14ac:dyDescent="0.25">
      <c r="C41" s="11"/>
    </row>
    <row r="42" spans="3:3" x14ac:dyDescent="0.25">
      <c r="C42" s="11"/>
    </row>
    <row r="43" spans="3:3" x14ac:dyDescent="0.25">
      <c r="C43" s="11"/>
    </row>
    <row r="44" spans="3:3" x14ac:dyDescent="0.25">
      <c r="C44" s="11"/>
    </row>
    <row r="45" spans="3:3" x14ac:dyDescent="0.25">
      <c r="C45" s="11"/>
    </row>
    <row r="46" spans="3:3" x14ac:dyDescent="0.25">
      <c r="C46" s="11"/>
    </row>
    <row r="50" spans="1:1" x14ac:dyDescent="0.25">
      <c r="A50" t="s">
        <v>51</v>
      </c>
    </row>
    <row r="51" spans="1:1" x14ac:dyDescent="0.25">
      <c r="A51" t="s">
        <v>52</v>
      </c>
    </row>
  </sheetData>
  <sheetProtection algorithmName="SHA-512" hashValue="klz/Ax6l2XrQLhyvUfqgr0PEcWecHe3POqB7bep/CLalP5Soa0iZfQqkAYHhp9Go3C88/OfLY4B3S2yiuO8NrQ==" saltValue="IcBV74j3qrEXTi6jpYyFG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1882A-600D-4A61-BAE3-FFB43A2CE6B3}">
  <sheetPr codeName="Blad2"/>
  <dimension ref="A6:M61"/>
  <sheetViews>
    <sheetView tabSelected="1" workbookViewId="0">
      <selection activeCell="H10" sqref="H10"/>
    </sheetView>
  </sheetViews>
  <sheetFormatPr defaultRowHeight="15" x14ac:dyDescent="0.25"/>
  <cols>
    <col min="1" max="1" width="61" style="18" customWidth="1"/>
    <col min="2" max="2" width="15" style="18" customWidth="1"/>
    <col min="3" max="3" width="9.85546875" style="18" customWidth="1"/>
    <col min="4" max="4" width="12.7109375" style="18" customWidth="1"/>
    <col min="5" max="6" width="11" style="18" customWidth="1"/>
    <col min="7" max="7" width="10.5703125" style="18" customWidth="1"/>
    <col min="8" max="8" width="11.7109375" style="18" customWidth="1"/>
    <col min="9" max="9" width="10" style="18" bestFit="1" customWidth="1"/>
    <col min="10" max="11" width="9.140625" style="18"/>
    <col min="12" max="12" width="10.5703125" style="18" bestFit="1" customWidth="1"/>
    <col min="13" max="16384" width="9.140625" style="18"/>
  </cols>
  <sheetData>
    <row r="6" spans="1:13" ht="18" x14ac:dyDescent="0.25">
      <c r="A6" s="17" t="s">
        <v>49</v>
      </c>
      <c r="B6" s="14">
        <v>200</v>
      </c>
      <c r="C6" s="51">
        <v>4</v>
      </c>
      <c r="D6" s="22"/>
      <c r="G6" s="48" t="s">
        <v>50</v>
      </c>
      <c r="I6" s="49"/>
    </row>
    <row r="7" spans="1:13" x14ac:dyDescent="0.25">
      <c r="G7" s="18" t="s">
        <v>53</v>
      </c>
      <c r="L7" s="15"/>
      <c r="M7" s="16">
        <v>2</v>
      </c>
    </row>
    <row r="9" spans="1:13" ht="15.75" thickBot="1" x14ac:dyDescent="0.3">
      <c r="G9" s="18" t="s">
        <v>54</v>
      </c>
    </row>
    <row r="10" spans="1:13" ht="16.5" thickBot="1" x14ac:dyDescent="0.3">
      <c r="A10" s="19"/>
      <c r="B10" s="23" t="s">
        <v>0</v>
      </c>
      <c r="C10" s="23" t="s">
        <v>1</v>
      </c>
      <c r="D10" s="23" t="s">
        <v>35</v>
      </c>
      <c r="E10" s="24"/>
      <c r="F10" s="24"/>
      <c r="G10" s="59">
        <v>100</v>
      </c>
      <c r="H10" s="59">
        <v>110</v>
      </c>
      <c r="I10" s="59">
        <v>200</v>
      </c>
    </row>
    <row r="11" spans="1:13" ht="15.75" thickBot="1" x14ac:dyDescent="0.3">
      <c r="A11" s="20" t="s">
        <v>42</v>
      </c>
      <c r="B11" s="25"/>
      <c r="C11" s="25"/>
      <c r="D11" s="25"/>
      <c r="E11" s="26"/>
      <c r="F11" s="26"/>
      <c r="G11" s="27"/>
      <c r="H11" s="27"/>
      <c r="I11" s="27"/>
    </row>
    <row r="12" spans="1:13" ht="15.75" thickBot="1" x14ac:dyDescent="0.3">
      <c r="A12" s="21" t="s">
        <v>2</v>
      </c>
      <c r="B12" s="28">
        <f>VLOOKUP($C$6,gegevens!$B$4:$N$27,3,FALSE)</f>
        <v>261.44</v>
      </c>
      <c r="C12" s="29">
        <f>B12*0.05</f>
        <v>13.072000000000001</v>
      </c>
      <c r="D12" s="29">
        <f>B12-C12</f>
        <v>248.36799999999999</v>
      </c>
      <c r="E12" s="30"/>
      <c r="F12" s="30"/>
      <c r="G12" s="31">
        <f>IF($M$7=1,B12*$G$10%,D12*$G$10%)</f>
        <v>248.36799999999999</v>
      </c>
      <c r="H12" s="31">
        <f>IF($M$7=1,B12*$H$10%,D12*$H$10%)</f>
        <v>273.20480000000003</v>
      </c>
      <c r="I12" s="31">
        <f>IF($M$7=1,B12*$I$10%,D12*$I$10%)</f>
        <v>496.73599999999999</v>
      </c>
    </row>
    <row r="13" spans="1:13" ht="15.75" thickBot="1" x14ac:dyDescent="0.3">
      <c r="A13" s="21" t="s">
        <v>3</v>
      </c>
      <c r="B13" s="29">
        <f>2*B12</f>
        <v>522.88</v>
      </c>
      <c r="C13" s="29">
        <f t="shared" ref="C13:C39" si="0">B13*0.05</f>
        <v>26.144000000000002</v>
      </c>
      <c r="D13" s="29">
        <f t="shared" ref="D13:D39" si="1">B13-C13</f>
        <v>496.73599999999999</v>
      </c>
      <c r="E13" s="30"/>
      <c r="F13" s="30"/>
      <c r="G13" s="31">
        <f t="shared" ref="G13:G56" si="2">IF($M$7=1,B13*$G$10%,D13*$G$10%)</f>
        <v>496.73599999999999</v>
      </c>
      <c r="H13" s="31">
        <f t="shared" ref="H13:H56" si="3">IF($M$7=1,B13*$H$10%,D13*$H$10%)</f>
        <v>546.40960000000007</v>
      </c>
      <c r="I13" s="31">
        <f t="shared" ref="I13:I56" si="4">IF($M$7=1,B13*$I$10%,D13*$I$10%)</f>
        <v>993.47199999999998</v>
      </c>
    </row>
    <row r="14" spans="1:13" ht="15.75" thickBot="1" x14ac:dyDescent="0.3">
      <c r="A14" s="21" t="s">
        <v>4</v>
      </c>
      <c r="B14" s="29">
        <f>B12+(B23/2)</f>
        <v>1017.8900000000001</v>
      </c>
      <c r="C14" s="29">
        <f t="shared" si="0"/>
        <v>50.894500000000008</v>
      </c>
      <c r="D14" s="29">
        <f t="shared" si="1"/>
        <v>966.99550000000011</v>
      </c>
      <c r="E14" s="30"/>
      <c r="F14" s="30"/>
      <c r="G14" s="31">
        <f t="shared" si="2"/>
        <v>966.99550000000011</v>
      </c>
      <c r="H14" s="31">
        <f t="shared" si="3"/>
        <v>1063.6950500000003</v>
      </c>
      <c r="I14" s="31">
        <f t="shared" si="4"/>
        <v>1933.9910000000002</v>
      </c>
    </row>
    <row r="15" spans="1:13" ht="15.75" thickBot="1" x14ac:dyDescent="0.3">
      <c r="A15" s="21"/>
      <c r="B15" s="32"/>
      <c r="C15" s="33"/>
      <c r="D15" s="34"/>
      <c r="E15" s="30"/>
      <c r="F15" s="30"/>
      <c r="G15" s="31"/>
      <c r="H15" s="31"/>
      <c r="I15" s="31"/>
      <c r="K15" s="46"/>
    </row>
    <row r="16" spans="1:13" ht="15.75" thickBot="1" x14ac:dyDescent="0.3">
      <c r="A16" s="20" t="s">
        <v>43</v>
      </c>
      <c r="B16" s="35"/>
      <c r="C16" s="33"/>
      <c r="D16" s="34"/>
      <c r="E16" s="30"/>
      <c r="F16" s="30"/>
      <c r="G16" s="31"/>
      <c r="H16" s="31"/>
      <c r="I16" s="31"/>
    </row>
    <row r="17" spans="1:13" ht="15.75" thickBot="1" x14ac:dyDescent="0.3">
      <c r="A17" s="21" t="s">
        <v>5</v>
      </c>
      <c r="B17" s="29">
        <f>B12</f>
        <v>261.44</v>
      </c>
      <c r="C17" s="29">
        <f t="shared" si="0"/>
        <v>13.072000000000001</v>
      </c>
      <c r="D17" s="29">
        <f t="shared" si="1"/>
        <v>248.36799999999999</v>
      </c>
      <c r="E17" s="30"/>
      <c r="F17" s="30"/>
      <c r="G17" s="31">
        <f t="shared" si="2"/>
        <v>248.36799999999999</v>
      </c>
      <c r="H17" s="31">
        <f t="shared" si="3"/>
        <v>273.20480000000003</v>
      </c>
      <c r="I17" s="31">
        <f t="shared" si="4"/>
        <v>496.73599999999999</v>
      </c>
    </row>
    <row r="18" spans="1:13" ht="15.75" thickBot="1" x14ac:dyDescent="0.3">
      <c r="A18" s="21" t="s">
        <v>3</v>
      </c>
      <c r="B18" s="28">
        <f>VLOOKUP($C$6,gegevens!$B$4:$N$27,4,FALSE)</f>
        <v>825.46</v>
      </c>
      <c r="C18" s="29">
        <f t="shared" si="0"/>
        <v>41.273000000000003</v>
      </c>
      <c r="D18" s="29">
        <f t="shared" si="1"/>
        <v>784.18700000000001</v>
      </c>
      <c r="E18" s="30"/>
      <c r="F18" s="30"/>
      <c r="G18" s="31">
        <f t="shared" si="2"/>
        <v>784.18700000000001</v>
      </c>
      <c r="H18" s="31">
        <f t="shared" si="3"/>
        <v>862.60570000000007</v>
      </c>
      <c r="I18" s="31">
        <f t="shared" si="4"/>
        <v>1568.374</v>
      </c>
    </row>
    <row r="19" spans="1:13" ht="15.75" thickBot="1" x14ac:dyDescent="0.3">
      <c r="A19" s="21" t="s">
        <v>4</v>
      </c>
      <c r="B19" s="28">
        <f>VLOOKUP($C$6,gegevens!$B$4:$N$27,5,FALSE)</f>
        <v>1320.47</v>
      </c>
      <c r="C19" s="29">
        <f t="shared" si="0"/>
        <v>66.023499999999999</v>
      </c>
      <c r="D19" s="29">
        <f t="shared" si="1"/>
        <v>1254.4465</v>
      </c>
      <c r="E19" s="30"/>
      <c r="F19" s="30"/>
      <c r="G19" s="31">
        <f t="shared" si="2"/>
        <v>1254.4465</v>
      </c>
      <c r="H19" s="31">
        <f t="shared" si="3"/>
        <v>1379.8911500000002</v>
      </c>
      <c r="I19" s="31">
        <f t="shared" si="4"/>
        <v>2508.893</v>
      </c>
    </row>
    <row r="20" spans="1:13" ht="15.75" thickBot="1" x14ac:dyDescent="0.3">
      <c r="A20" s="21"/>
      <c r="B20" s="32"/>
      <c r="C20" s="33"/>
      <c r="D20" s="34"/>
      <c r="E20" s="30"/>
      <c r="F20" s="30"/>
      <c r="G20" s="31"/>
      <c r="H20" s="31"/>
      <c r="I20" s="31"/>
      <c r="L20" s="46"/>
    </row>
    <row r="21" spans="1:13" ht="15.75" thickBot="1" x14ac:dyDescent="0.3">
      <c r="A21" s="20" t="s">
        <v>44</v>
      </c>
      <c r="B21" s="35"/>
      <c r="C21" s="33"/>
      <c r="D21" s="34"/>
      <c r="E21" s="30"/>
      <c r="F21" s="30"/>
      <c r="G21" s="31"/>
      <c r="H21" s="31"/>
      <c r="I21" s="31"/>
    </row>
    <row r="22" spans="1:13" ht="15.75" thickBot="1" x14ac:dyDescent="0.3">
      <c r="A22" s="21" t="s">
        <v>6</v>
      </c>
      <c r="B22" s="29">
        <f>B23*0.7</f>
        <v>1059.03</v>
      </c>
      <c r="C22" s="29">
        <f t="shared" si="0"/>
        <v>52.951500000000003</v>
      </c>
      <c r="D22" s="29">
        <f t="shared" si="1"/>
        <v>1006.0785</v>
      </c>
      <c r="E22" s="30"/>
      <c r="F22" s="30"/>
      <c r="G22" s="31">
        <f t="shared" si="2"/>
        <v>1006.0785</v>
      </c>
      <c r="H22" s="31">
        <f t="shared" si="3"/>
        <v>1106.6863499999999</v>
      </c>
      <c r="I22" s="31">
        <f t="shared" si="4"/>
        <v>2012.1569999999999</v>
      </c>
      <c r="M22" s="50"/>
    </row>
    <row r="23" spans="1:13" ht="15.75" thickBot="1" x14ac:dyDescent="0.3">
      <c r="A23" s="21" t="s">
        <v>46</v>
      </c>
      <c r="B23" s="28">
        <f>VLOOKUP($C$6,gegevens!$B$4:$N$27,2,FALSE)</f>
        <v>1512.9</v>
      </c>
      <c r="C23" s="29">
        <f t="shared" si="0"/>
        <v>75.64500000000001</v>
      </c>
      <c r="D23" s="29">
        <f t="shared" si="1"/>
        <v>1437.2550000000001</v>
      </c>
      <c r="E23" s="30"/>
      <c r="F23" s="30"/>
      <c r="G23" s="31">
        <f t="shared" si="2"/>
        <v>1437.2550000000001</v>
      </c>
      <c r="H23" s="31">
        <f t="shared" si="3"/>
        <v>1580.9805000000003</v>
      </c>
      <c r="I23" s="31">
        <f t="shared" si="4"/>
        <v>2874.51</v>
      </c>
    </row>
    <row r="24" spans="1:13" ht="15.75" thickBot="1" x14ac:dyDescent="0.3">
      <c r="A24" s="21"/>
      <c r="B24" s="29"/>
      <c r="C24" s="29"/>
      <c r="D24" s="29"/>
      <c r="E24" s="30"/>
      <c r="F24" s="30"/>
      <c r="G24" s="31"/>
      <c r="H24" s="31"/>
      <c r="I24" s="31"/>
    </row>
    <row r="25" spans="1:13" ht="15.75" thickBot="1" x14ac:dyDescent="0.3">
      <c r="A25" s="20" t="s">
        <v>7</v>
      </c>
      <c r="B25" s="25"/>
      <c r="C25" s="29"/>
      <c r="D25" s="29"/>
      <c r="E25" s="30"/>
      <c r="F25" s="30"/>
      <c r="G25" s="31"/>
      <c r="H25" s="31"/>
      <c r="I25" s="31"/>
    </row>
    <row r="26" spans="1:13" ht="15.75" thickBot="1" x14ac:dyDescent="0.3">
      <c r="A26" s="21" t="s">
        <v>8</v>
      </c>
      <c r="B26" s="28">
        <f>VLOOKUP($C$6,gegevens!$B$4:$N$27,6,FALSE)</f>
        <v>1184.26</v>
      </c>
      <c r="C26" s="29">
        <f t="shared" si="0"/>
        <v>59.213000000000001</v>
      </c>
      <c r="D26" s="29">
        <f t="shared" si="1"/>
        <v>1125.047</v>
      </c>
      <c r="E26" s="30"/>
      <c r="F26" s="30"/>
      <c r="G26" s="31">
        <f t="shared" si="2"/>
        <v>1125.047</v>
      </c>
      <c r="H26" s="31">
        <f t="shared" si="3"/>
        <v>1237.5517000000002</v>
      </c>
      <c r="I26" s="31">
        <f t="shared" si="4"/>
        <v>2250.0940000000001</v>
      </c>
    </row>
    <row r="27" spans="1:13" ht="15.75" thickBot="1" x14ac:dyDescent="0.3">
      <c r="A27" s="21" t="s">
        <v>45</v>
      </c>
      <c r="B27" s="28">
        <f>VLOOKUP($C$6,gegevens!$B$4:$N$27,7,FALSE)</f>
        <v>1606.88</v>
      </c>
      <c r="C27" s="29">
        <f t="shared" si="0"/>
        <v>80.344000000000008</v>
      </c>
      <c r="D27" s="29">
        <f t="shared" si="1"/>
        <v>1526.5360000000001</v>
      </c>
      <c r="E27" s="30"/>
      <c r="F27" s="30"/>
      <c r="G27" s="31">
        <f t="shared" si="2"/>
        <v>1526.5360000000001</v>
      </c>
      <c r="H27" s="31">
        <f t="shared" si="3"/>
        <v>1679.1896000000002</v>
      </c>
      <c r="I27" s="31">
        <f t="shared" si="4"/>
        <v>3053.0720000000001</v>
      </c>
    </row>
    <row r="28" spans="1:13" ht="15.75" thickBot="1" x14ac:dyDescent="0.3">
      <c r="A28" s="21"/>
      <c r="B28" s="28"/>
      <c r="C28" s="29"/>
      <c r="D28" s="29"/>
      <c r="E28" s="30"/>
      <c r="F28" s="30"/>
      <c r="G28" s="31"/>
      <c r="H28" s="31"/>
      <c r="I28" s="31"/>
    </row>
    <row r="29" spans="1:13" ht="15.75" thickBot="1" x14ac:dyDescent="0.3">
      <c r="A29" s="20" t="s">
        <v>9</v>
      </c>
      <c r="B29" s="25"/>
      <c r="C29" s="29"/>
      <c r="D29" s="29"/>
      <c r="E29" s="36" t="s">
        <v>40</v>
      </c>
      <c r="F29" s="30"/>
      <c r="G29" s="31"/>
      <c r="H29" s="31"/>
      <c r="I29" s="31"/>
    </row>
    <row r="30" spans="1:13" ht="15.75" thickBot="1" x14ac:dyDescent="0.3">
      <c r="A30" s="21" t="s">
        <v>10</v>
      </c>
      <c r="B30" s="28">
        <f>VLOOKUP($C$6,gegevens!$B$4:$N$27,9,FALSE)</f>
        <v>335.33</v>
      </c>
      <c r="C30" s="29">
        <f t="shared" si="0"/>
        <v>16.766500000000001</v>
      </c>
      <c r="D30" s="29">
        <f t="shared" si="1"/>
        <v>318.56349999999998</v>
      </c>
      <c r="E30" s="37">
        <f>VLOOKUP($C$6,gegevens!$B$4:$N$27,10,FALSE)</f>
        <v>33</v>
      </c>
      <c r="F30" s="30"/>
      <c r="G30" s="31">
        <f t="shared" si="2"/>
        <v>318.56349999999998</v>
      </c>
      <c r="H30" s="31">
        <f t="shared" si="3"/>
        <v>350.41985</v>
      </c>
      <c r="I30" s="31">
        <f t="shared" si="4"/>
        <v>637.12699999999995</v>
      </c>
    </row>
    <row r="31" spans="1:13" ht="15.75" thickBot="1" x14ac:dyDescent="0.3">
      <c r="A31" s="21" t="s">
        <v>11</v>
      </c>
      <c r="B31" s="28">
        <f>VLOOKUP($C$6,gegevens!$B$4:$N$27,11,FALSE)</f>
        <v>521.59</v>
      </c>
      <c r="C31" s="29">
        <f t="shared" si="0"/>
        <v>26.079500000000003</v>
      </c>
      <c r="D31" s="29">
        <f t="shared" si="1"/>
        <v>495.51050000000004</v>
      </c>
      <c r="E31" s="37">
        <f>VLOOKUP($C$6,gegevens!$B$4:$N$27,12,FALSE)</f>
        <v>74</v>
      </c>
      <c r="F31" s="30"/>
      <c r="G31" s="31">
        <f t="shared" si="2"/>
        <v>495.51050000000004</v>
      </c>
      <c r="H31" s="31">
        <f t="shared" si="3"/>
        <v>545.06155000000012</v>
      </c>
      <c r="I31" s="31">
        <f t="shared" si="4"/>
        <v>991.02100000000007</v>
      </c>
    </row>
    <row r="32" spans="1:13" ht="15.75" thickBot="1" x14ac:dyDescent="0.3">
      <c r="A32" s="22"/>
      <c r="B32" s="38"/>
      <c r="C32" s="33"/>
      <c r="D32" s="33"/>
      <c r="E32" s="30"/>
      <c r="F32" s="30"/>
      <c r="G32" s="31"/>
      <c r="H32" s="31"/>
      <c r="I32" s="31"/>
    </row>
    <row r="33" spans="1:9" ht="15.75" thickBot="1" x14ac:dyDescent="0.3">
      <c r="A33" s="20" t="s">
        <v>12</v>
      </c>
      <c r="B33" s="60" t="s">
        <v>48</v>
      </c>
      <c r="C33" s="61"/>
      <c r="D33" s="62"/>
      <c r="E33" s="30"/>
      <c r="F33" s="30"/>
      <c r="G33" s="31"/>
      <c r="H33" s="31"/>
      <c r="I33" s="31"/>
    </row>
    <row r="34" spans="1:9" ht="15.75" thickBot="1" x14ac:dyDescent="0.3">
      <c r="A34" s="21" t="s">
        <v>13</v>
      </c>
      <c r="B34" s="39" t="s">
        <v>14</v>
      </c>
      <c r="C34" s="23" t="s">
        <v>1</v>
      </c>
      <c r="D34" s="23" t="s">
        <v>35</v>
      </c>
      <c r="E34" s="30"/>
      <c r="F34" s="30"/>
      <c r="G34" s="31"/>
      <c r="H34" s="31"/>
      <c r="I34" s="31"/>
    </row>
    <row r="35" spans="1:9" ht="15.75" thickBot="1" x14ac:dyDescent="0.3">
      <c r="A35" s="21" t="s">
        <v>15</v>
      </c>
      <c r="B35" s="40">
        <f>B23/2</f>
        <v>756.45</v>
      </c>
      <c r="C35" s="29">
        <f t="shared" si="0"/>
        <v>37.822500000000005</v>
      </c>
      <c r="D35" s="29">
        <f t="shared" si="1"/>
        <v>718.62750000000005</v>
      </c>
      <c r="E35" s="30"/>
      <c r="F35" s="30"/>
      <c r="G35" s="31">
        <f t="shared" si="2"/>
        <v>718.62750000000005</v>
      </c>
      <c r="H35" s="31">
        <f t="shared" si="3"/>
        <v>790.49025000000017</v>
      </c>
      <c r="I35" s="31">
        <f t="shared" si="4"/>
        <v>1437.2550000000001</v>
      </c>
    </row>
    <row r="36" spans="1:9" ht="15.75" thickBot="1" x14ac:dyDescent="0.3">
      <c r="A36" s="21" t="s">
        <v>16</v>
      </c>
      <c r="B36" s="40">
        <f>B23*0.433333</f>
        <v>655.58949570000004</v>
      </c>
      <c r="C36" s="29">
        <f t="shared" si="0"/>
        <v>32.779474785000005</v>
      </c>
      <c r="D36" s="29">
        <f t="shared" si="1"/>
        <v>622.810020915</v>
      </c>
      <c r="E36" s="30"/>
      <c r="F36" s="30"/>
      <c r="G36" s="31">
        <f t="shared" si="2"/>
        <v>622.810020915</v>
      </c>
      <c r="H36" s="31">
        <f t="shared" si="3"/>
        <v>685.0910230065</v>
      </c>
      <c r="I36" s="31">
        <f t="shared" si="4"/>
        <v>1245.62004183</v>
      </c>
    </row>
    <row r="37" spans="1:9" ht="15.75" thickBot="1" x14ac:dyDescent="0.3">
      <c r="A37" s="21" t="s">
        <v>17</v>
      </c>
      <c r="B37" s="40">
        <f>B23*0.4</f>
        <v>605.16000000000008</v>
      </c>
      <c r="C37" s="29">
        <f t="shared" si="0"/>
        <v>30.258000000000006</v>
      </c>
      <c r="D37" s="29">
        <f t="shared" si="1"/>
        <v>574.90200000000004</v>
      </c>
      <c r="E37" s="30"/>
      <c r="F37" s="30"/>
      <c r="G37" s="31">
        <f t="shared" si="2"/>
        <v>574.90200000000004</v>
      </c>
      <c r="H37" s="31">
        <f t="shared" si="3"/>
        <v>632.39220000000012</v>
      </c>
      <c r="I37" s="31">
        <f t="shared" si="4"/>
        <v>1149.8040000000001</v>
      </c>
    </row>
    <row r="38" spans="1:9" ht="15.75" thickBot="1" x14ac:dyDescent="0.3">
      <c r="A38" s="21" t="s">
        <v>18</v>
      </c>
      <c r="B38" s="40">
        <f>B23*0.38</f>
        <v>574.90200000000004</v>
      </c>
      <c r="C38" s="29">
        <f t="shared" si="0"/>
        <v>28.745100000000004</v>
      </c>
      <c r="D38" s="29">
        <f t="shared" si="1"/>
        <v>546.15690000000006</v>
      </c>
      <c r="E38" s="30"/>
      <c r="F38" s="30"/>
      <c r="G38" s="31">
        <f t="shared" si="2"/>
        <v>546.15690000000006</v>
      </c>
      <c r="H38" s="31">
        <f t="shared" si="3"/>
        <v>600.77259000000015</v>
      </c>
      <c r="I38" s="31">
        <f t="shared" si="4"/>
        <v>1092.3138000000001</v>
      </c>
    </row>
    <row r="39" spans="1:9" ht="15.75" thickBot="1" x14ac:dyDescent="0.3">
      <c r="A39" s="21" t="s">
        <v>19</v>
      </c>
      <c r="B39" s="40">
        <f>B23*0.366667</f>
        <v>554.73050430000012</v>
      </c>
      <c r="C39" s="29">
        <f t="shared" si="0"/>
        <v>27.736525215000007</v>
      </c>
      <c r="D39" s="29">
        <f t="shared" si="1"/>
        <v>526.99397908500009</v>
      </c>
      <c r="E39" s="30"/>
      <c r="F39" s="30"/>
      <c r="G39" s="31">
        <f t="shared" si="2"/>
        <v>526.99397908500009</v>
      </c>
      <c r="H39" s="31">
        <f t="shared" si="3"/>
        <v>579.69337699350012</v>
      </c>
      <c r="I39" s="31">
        <f t="shared" si="4"/>
        <v>1053.9879581700002</v>
      </c>
    </row>
    <row r="40" spans="1:9" ht="15.75" thickBot="1" x14ac:dyDescent="0.3">
      <c r="A40" s="21"/>
      <c r="B40" s="21"/>
      <c r="C40" s="21"/>
      <c r="D40" s="21"/>
      <c r="G40" s="31"/>
      <c r="H40" s="31"/>
      <c r="I40" s="31"/>
    </row>
    <row r="41" spans="1:9" ht="15.75" thickBot="1" x14ac:dyDescent="0.3">
      <c r="A41" s="20" t="s">
        <v>41</v>
      </c>
      <c r="B41" s="41"/>
      <c r="C41" s="42"/>
      <c r="D41" s="43"/>
      <c r="E41" s="30"/>
      <c r="F41" s="30"/>
      <c r="G41" s="31"/>
      <c r="H41" s="31"/>
      <c r="I41" s="31"/>
    </row>
    <row r="42" spans="1:9" ht="15.75" thickBot="1" x14ac:dyDescent="0.3">
      <c r="A42" s="21" t="s">
        <v>13</v>
      </c>
      <c r="B42" s="39" t="s">
        <v>14</v>
      </c>
      <c r="C42" s="23" t="s">
        <v>1</v>
      </c>
      <c r="D42" s="23" t="s">
        <v>35</v>
      </c>
      <c r="E42" s="30"/>
      <c r="F42" s="30"/>
      <c r="G42" s="31"/>
      <c r="H42" s="31"/>
      <c r="I42" s="31"/>
    </row>
    <row r="43" spans="1:9" ht="15.75" thickBot="1" x14ac:dyDescent="0.3">
      <c r="A43" s="21" t="s">
        <v>15</v>
      </c>
      <c r="B43" s="40">
        <f>B35+$B$12</f>
        <v>1017.8900000000001</v>
      </c>
      <c r="C43" s="29">
        <f t="shared" ref="C43:C47" si="5">B43*0.05</f>
        <v>50.894500000000008</v>
      </c>
      <c r="D43" s="29">
        <f t="shared" ref="D43:D47" si="6">B43-C43</f>
        <v>966.99550000000011</v>
      </c>
      <c r="E43" s="30"/>
      <c r="F43" s="30"/>
      <c r="G43" s="31">
        <f t="shared" si="2"/>
        <v>966.99550000000011</v>
      </c>
      <c r="H43" s="31">
        <f t="shared" si="3"/>
        <v>1063.6950500000003</v>
      </c>
      <c r="I43" s="31">
        <f t="shared" si="4"/>
        <v>1933.9910000000002</v>
      </c>
    </row>
    <row r="44" spans="1:9" ht="15.75" thickBot="1" x14ac:dyDescent="0.3">
      <c r="A44" s="21" t="s">
        <v>16</v>
      </c>
      <c r="B44" s="40">
        <f>B36+$B$12</f>
        <v>917.0294957000001</v>
      </c>
      <c r="C44" s="29">
        <f t="shared" si="5"/>
        <v>45.851474785000008</v>
      </c>
      <c r="D44" s="29">
        <f t="shared" si="6"/>
        <v>871.17802091500005</v>
      </c>
      <c r="E44" s="30"/>
      <c r="F44" s="30"/>
      <c r="G44" s="31">
        <f t="shared" si="2"/>
        <v>871.17802091500005</v>
      </c>
      <c r="H44" s="31">
        <f t="shared" si="3"/>
        <v>958.29582300650009</v>
      </c>
      <c r="I44" s="31">
        <f t="shared" si="4"/>
        <v>1742.3560418300001</v>
      </c>
    </row>
    <row r="45" spans="1:9" ht="15.75" thickBot="1" x14ac:dyDescent="0.3">
      <c r="A45" s="21" t="s">
        <v>17</v>
      </c>
      <c r="B45" s="40">
        <f>B37+$B$12</f>
        <v>866.60000000000014</v>
      </c>
      <c r="C45" s="29">
        <f t="shared" si="5"/>
        <v>43.330000000000013</v>
      </c>
      <c r="D45" s="29">
        <f t="shared" si="6"/>
        <v>823.2700000000001</v>
      </c>
      <c r="E45" s="30"/>
      <c r="F45" s="30"/>
      <c r="G45" s="31">
        <f t="shared" si="2"/>
        <v>823.2700000000001</v>
      </c>
      <c r="H45" s="31">
        <f t="shared" si="3"/>
        <v>905.59700000000021</v>
      </c>
      <c r="I45" s="31">
        <f t="shared" si="4"/>
        <v>1646.5400000000002</v>
      </c>
    </row>
    <row r="46" spans="1:9" ht="15.75" thickBot="1" x14ac:dyDescent="0.3">
      <c r="A46" s="21" t="s">
        <v>18</v>
      </c>
      <c r="B46" s="40">
        <f>B38+$B$12</f>
        <v>836.3420000000001</v>
      </c>
      <c r="C46" s="29">
        <f t="shared" si="5"/>
        <v>41.817100000000011</v>
      </c>
      <c r="D46" s="29">
        <f t="shared" si="6"/>
        <v>794.52490000000012</v>
      </c>
      <c r="E46" s="30"/>
      <c r="F46" s="30"/>
      <c r="G46" s="31">
        <f t="shared" si="2"/>
        <v>794.52490000000012</v>
      </c>
      <c r="H46" s="31">
        <f t="shared" si="3"/>
        <v>873.97739000000024</v>
      </c>
      <c r="I46" s="31">
        <f t="shared" si="4"/>
        <v>1589.0498000000002</v>
      </c>
    </row>
    <row r="47" spans="1:9" ht="15.75" thickBot="1" x14ac:dyDescent="0.3">
      <c r="A47" s="21" t="s">
        <v>19</v>
      </c>
      <c r="B47" s="40">
        <f>B39+$B$12</f>
        <v>816.17050430000018</v>
      </c>
      <c r="C47" s="29">
        <f t="shared" si="5"/>
        <v>40.80852521500001</v>
      </c>
      <c r="D47" s="29">
        <f t="shared" si="6"/>
        <v>775.36197908500014</v>
      </c>
      <c r="E47" s="30"/>
      <c r="F47" s="30"/>
      <c r="G47" s="31">
        <f t="shared" si="2"/>
        <v>775.36197908500014</v>
      </c>
      <c r="H47" s="31">
        <f t="shared" si="3"/>
        <v>852.89817699350021</v>
      </c>
      <c r="I47" s="31">
        <f t="shared" si="4"/>
        <v>1550.7239581700003</v>
      </c>
    </row>
    <row r="48" spans="1:9" x14ac:dyDescent="0.25">
      <c r="A48" s="21"/>
      <c r="B48" s="21"/>
      <c r="C48" s="21"/>
      <c r="D48" s="21"/>
      <c r="G48" s="31">
        <f t="shared" si="2"/>
        <v>0</v>
      </c>
      <c r="H48" s="31">
        <f t="shared" si="3"/>
        <v>0</v>
      </c>
      <c r="I48" s="31">
        <f t="shared" si="4"/>
        <v>0</v>
      </c>
    </row>
    <row r="49" spans="1:9" ht="15.75" thickBot="1" x14ac:dyDescent="0.3">
      <c r="A49" s="21"/>
      <c r="B49" s="21"/>
      <c r="C49" s="21"/>
      <c r="D49" s="21"/>
      <c r="G49" s="31">
        <f t="shared" si="2"/>
        <v>0</v>
      </c>
      <c r="H49" s="31">
        <f t="shared" si="3"/>
        <v>0</v>
      </c>
      <c r="I49" s="31">
        <f t="shared" si="4"/>
        <v>0</v>
      </c>
    </row>
    <row r="50" spans="1:9" ht="15.75" thickBot="1" x14ac:dyDescent="0.3">
      <c r="A50" s="20" t="s">
        <v>47</v>
      </c>
      <c r="B50" s="44"/>
      <c r="C50" s="29"/>
      <c r="D50" s="29"/>
      <c r="E50" s="30"/>
      <c r="F50" s="30"/>
      <c r="G50" s="31">
        <f t="shared" si="2"/>
        <v>0</v>
      </c>
      <c r="H50" s="31">
        <f t="shared" si="3"/>
        <v>0</v>
      </c>
      <c r="I50" s="31">
        <f t="shared" si="4"/>
        <v>0</v>
      </c>
    </row>
    <row r="51" spans="1:9" ht="15.75" thickBot="1" x14ac:dyDescent="0.3">
      <c r="A51" s="21" t="s">
        <v>13</v>
      </c>
      <c r="B51" s="39" t="s">
        <v>14</v>
      </c>
      <c r="C51" s="23" t="s">
        <v>1</v>
      </c>
      <c r="D51" s="23" t="s">
        <v>35</v>
      </c>
      <c r="E51" s="30"/>
      <c r="F51" s="30"/>
      <c r="G51" s="31"/>
      <c r="H51" s="31"/>
      <c r="I51" s="31"/>
    </row>
    <row r="52" spans="1:9" ht="15.75" thickBot="1" x14ac:dyDescent="0.3">
      <c r="A52" s="21" t="s">
        <v>15</v>
      </c>
      <c r="B52" s="28">
        <f>(VLOOKUP($C$6,gegevens!$B$4:$N$27,8,FALSE))+B35</f>
        <v>1320.47</v>
      </c>
      <c r="C52" s="29">
        <f t="shared" ref="C52:C56" si="7">B52*0.05</f>
        <v>66.023499999999999</v>
      </c>
      <c r="D52" s="29">
        <f t="shared" ref="D52:D56" si="8">B52-C52</f>
        <v>1254.4465</v>
      </c>
      <c r="E52" s="30"/>
      <c r="F52" s="30"/>
      <c r="G52" s="31">
        <f t="shared" si="2"/>
        <v>1254.4465</v>
      </c>
      <c r="H52" s="31">
        <f t="shared" si="3"/>
        <v>1379.8911500000002</v>
      </c>
      <c r="I52" s="31">
        <f t="shared" si="4"/>
        <v>2508.893</v>
      </c>
    </row>
    <row r="53" spans="1:9" ht="15.75" thickBot="1" x14ac:dyDescent="0.3">
      <c r="A53" s="21" t="s">
        <v>16</v>
      </c>
      <c r="B53" s="28">
        <f>(VLOOKUP($C$6,gegevens!$B$4:$N$27,8,FALSE))+B36</f>
        <v>1219.6094957</v>
      </c>
      <c r="C53" s="29">
        <f t="shared" si="7"/>
        <v>60.980474785000006</v>
      </c>
      <c r="D53" s="29">
        <f t="shared" si="8"/>
        <v>1158.629020915</v>
      </c>
      <c r="E53" s="30"/>
      <c r="F53" s="30"/>
      <c r="G53" s="31">
        <f t="shared" si="2"/>
        <v>1158.629020915</v>
      </c>
      <c r="H53" s="31">
        <f t="shared" si="3"/>
        <v>1274.4919230065</v>
      </c>
      <c r="I53" s="31">
        <f t="shared" si="4"/>
        <v>2317.2580418299999</v>
      </c>
    </row>
    <row r="54" spans="1:9" ht="15.75" thickBot="1" x14ac:dyDescent="0.3">
      <c r="A54" s="21" t="s">
        <v>17</v>
      </c>
      <c r="B54" s="28">
        <f>(VLOOKUP($C$6,gegevens!$B$4:$N$27,8,FALSE))+B37</f>
        <v>1169.18</v>
      </c>
      <c r="C54" s="29">
        <f t="shared" si="7"/>
        <v>58.459000000000003</v>
      </c>
      <c r="D54" s="29">
        <f t="shared" si="8"/>
        <v>1110.721</v>
      </c>
      <c r="E54" s="30"/>
      <c r="F54" s="30"/>
      <c r="G54" s="31">
        <f t="shared" si="2"/>
        <v>1110.721</v>
      </c>
      <c r="H54" s="31">
        <f t="shared" si="3"/>
        <v>1221.7931000000001</v>
      </c>
      <c r="I54" s="31">
        <f t="shared" si="4"/>
        <v>2221.442</v>
      </c>
    </row>
    <row r="55" spans="1:9" ht="15.75" thickBot="1" x14ac:dyDescent="0.3">
      <c r="A55" s="21" t="s">
        <v>18</v>
      </c>
      <c r="B55" s="28">
        <f>(VLOOKUP($C$6,gegevens!$B$4:$N$27,8,FALSE))+B38</f>
        <v>1138.922</v>
      </c>
      <c r="C55" s="29">
        <f t="shared" si="7"/>
        <v>56.946100000000001</v>
      </c>
      <c r="D55" s="29">
        <f t="shared" si="8"/>
        <v>1081.9758999999999</v>
      </c>
      <c r="E55" s="30"/>
      <c r="F55" s="30"/>
      <c r="G55" s="31">
        <f t="shared" si="2"/>
        <v>1081.9758999999999</v>
      </c>
      <c r="H55" s="31">
        <f t="shared" si="3"/>
        <v>1190.1734899999999</v>
      </c>
      <c r="I55" s="31">
        <f t="shared" si="4"/>
        <v>2163.9517999999998</v>
      </c>
    </row>
    <row r="56" spans="1:9" ht="15.75" thickBot="1" x14ac:dyDescent="0.3">
      <c r="A56" s="21" t="s">
        <v>19</v>
      </c>
      <c r="B56" s="28">
        <f>(VLOOKUP($C$6,gegevens!$B$4:$N$27,8,FALSE))+B39</f>
        <v>1118.7505043000001</v>
      </c>
      <c r="C56" s="29">
        <f t="shared" si="7"/>
        <v>55.937525215000008</v>
      </c>
      <c r="D56" s="29">
        <f t="shared" si="8"/>
        <v>1062.8129790850001</v>
      </c>
      <c r="E56" s="30"/>
      <c r="F56" s="30"/>
      <c r="G56" s="31">
        <f t="shared" si="2"/>
        <v>1062.8129790850001</v>
      </c>
      <c r="H56" s="31">
        <f t="shared" si="3"/>
        <v>1169.0942769935002</v>
      </c>
      <c r="I56" s="31">
        <f t="shared" si="4"/>
        <v>2125.6259581700001</v>
      </c>
    </row>
    <row r="57" spans="1:9" x14ac:dyDescent="0.25">
      <c r="A57" s="21"/>
      <c r="B57" s="21"/>
      <c r="C57" s="21"/>
      <c r="D57" s="21"/>
    </row>
    <row r="58" spans="1:9" x14ac:dyDescent="0.25">
      <c r="A58" s="20" t="s">
        <v>20</v>
      </c>
      <c r="B58" s="21"/>
    </row>
    <row r="59" spans="1:9" x14ac:dyDescent="0.25">
      <c r="A59" s="21" t="s">
        <v>21</v>
      </c>
      <c r="B59" s="45">
        <f>VLOOKUP($C$6,gegevens!$B$4:$N$27,13,FALSE)</f>
        <v>6225</v>
      </c>
      <c r="C59" s="46"/>
      <c r="D59" s="46"/>
      <c r="E59" s="46"/>
      <c r="F59" s="46"/>
    </row>
    <row r="60" spans="1:9" x14ac:dyDescent="0.25">
      <c r="A60" s="21" t="s">
        <v>22</v>
      </c>
      <c r="B60" s="47">
        <f>B59*2</f>
        <v>12450</v>
      </c>
      <c r="C60" s="46"/>
      <c r="D60" s="46"/>
      <c r="E60" s="46"/>
      <c r="F60" s="46"/>
    </row>
    <row r="61" spans="1:9" x14ac:dyDescent="0.25">
      <c r="A61" s="21" t="s">
        <v>23</v>
      </c>
      <c r="B61" s="47">
        <f>B59*2</f>
        <v>12450</v>
      </c>
      <c r="C61" s="46"/>
      <c r="D61" s="46"/>
      <c r="E61" s="46"/>
      <c r="F61" s="46"/>
    </row>
  </sheetData>
  <sheetProtection algorithmName="SHA-512" hashValue="XUjjhcIPBVjIQeeW2xDnT4+KTyJRUywX5bjauyPBCQDdBe1yvxcefJgg48+gn33ft5IChRM1wsEpqbshANamFw==" saltValue="82CtNMgTcVDQfh9Da5kscQ==" spinCount="100000" sheet="1" objects="1" scenarios="1" selectLockedCells="1"/>
  <mergeCells count="1">
    <mergeCell ref="B33:D3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Drop Down 14">
              <controlPr defaultSize="0" autoLine="0" autoPict="0">
                <anchor moveWithCells="1">
                  <from>
                    <xdr:col>0</xdr:col>
                    <xdr:colOff>4057650</xdr:colOff>
                    <xdr:row>5</xdr:row>
                    <xdr:rowOff>38100</xdr:rowOff>
                  </from>
                  <to>
                    <xdr:col>2</xdr:col>
                    <xdr:colOff>19050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5" name="Drop Down 15">
              <controlPr defaultSize="0" autoLine="0" autoPict="0">
                <anchor moveWithCells="1">
                  <from>
                    <xdr:col>11</xdr:col>
                    <xdr:colOff>38100</xdr:colOff>
                    <xdr:row>6</xdr:row>
                    <xdr:rowOff>38100</xdr:rowOff>
                  </from>
                  <to>
                    <xdr:col>12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11" ma:contentTypeDescription="Een nieuw document maken." ma:contentTypeScope="" ma:versionID="932df633b1f8cc603e55ecba8227aacd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9ebe504d20f32cb512b2278a3275a601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423452-2539-4233-87D3-16EB2F225A72}"/>
</file>

<file path=customXml/itemProps2.xml><?xml version="1.0" encoding="utf-8"?>
<ds:datastoreItem xmlns:ds="http://schemas.openxmlformats.org/officeDocument/2006/customXml" ds:itemID="{ACC1D126-7CD3-40AF-9B7B-16C5362BE14F}"/>
</file>

<file path=customXml/itemProps3.xml><?xml version="1.0" encoding="utf-8"?>
<ds:datastoreItem xmlns:ds="http://schemas.openxmlformats.org/officeDocument/2006/customXml" ds:itemID="{BBF22323-7C27-42C7-946D-B6B38770A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gegevens</vt:lpstr>
      <vt:lpstr>normen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Reali</dc:creator>
  <cp:lastModifiedBy>Roberto Reali</cp:lastModifiedBy>
  <dcterms:created xsi:type="dcterms:W3CDTF">2021-12-23T14:16:17Z</dcterms:created>
  <dcterms:modified xsi:type="dcterms:W3CDTF">2022-01-09T21:03:02Z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