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igroep-my.sharepoint.com/personal/rreali_wyzer_nl/Documents/Documenten - kopie/Wyzerberekeningen/2022/"/>
    </mc:Choice>
  </mc:AlternateContent>
  <xr:revisionPtr revIDLastSave="0" documentId="8_{97172A67-47FC-435C-A428-C43F658FEE48}" xr6:coauthVersionLast="47" xr6:coauthVersionMax="47" xr10:uidLastSave="{00000000-0000-0000-0000-000000000000}"/>
  <workbookProtection workbookAlgorithmName="SHA-512" workbookHashValue="IRjePsACjQe2epK1SfzdrschN00oysEWUKB9bqQZOrHf7K5iKmPSdcPGLNJWOR1+YvHuVX3QJgza/dhqmn3nMA==" workbookSaltValue="e3JJyZz4UAhXcsy91tP4PQ==" workbookSpinCount="100000" lockStructure="1"/>
  <bookViews>
    <workbookView xWindow="28680" yWindow="-5520" windowWidth="38640" windowHeight="21240" xr2:uid="{00000000-000D-0000-FFFF-FFFF00000000}"/>
  </bookViews>
  <sheets>
    <sheet name="WKT  Huurwoning" sheetId="2" r:id="rId1"/>
    <sheet name="WKT Eigen woning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1" l="1"/>
  <c r="E53" i="2"/>
  <c r="E54" i="2" s="1"/>
  <c r="E54" i="1" l="1"/>
  <c r="E55" i="1" s="1"/>
  <c r="F55" i="1" s="1"/>
  <c r="E55" i="2"/>
  <c r="E15" i="2" l="1"/>
  <c r="E16" i="2" s="1"/>
  <c r="L15" i="2"/>
  <c r="L14" i="2"/>
  <c r="L12" i="2"/>
  <c r="L11" i="2"/>
  <c r="L10" i="2"/>
  <c r="L8" i="2"/>
  <c r="L7" i="2"/>
  <c r="E63" i="2" s="1"/>
  <c r="L15" i="1"/>
  <c r="L14" i="1"/>
  <c r="L12" i="1"/>
  <c r="L11" i="1"/>
  <c r="L10" i="1"/>
  <c r="E42" i="1" s="1"/>
  <c r="L8" i="1"/>
  <c r="L7" i="1"/>
  <c r="E63" i="1" s="1"/>
  <c r="E15" i="1"/>
  <c r="E16" i="1" s="1"/>
  <c r="C43" i="1" s="1"/>
  <c r="E35" i="2"/>
  <c r="F34" i="2"/>
  <c r="F33" i="2"/>
  <c r="F32" i="2"/>
  <c r="F31" i="2"/>
  <c r="F30" i="2"/>
  <c r="F29" i="2"/>
  <c r="E34" i="1"/>
  <c r="F35" i="1" s="1"/>
  <c r="E48" i="1" l="1"/>
  <c r="E46" i="1"/>
  <c r="E47" i="1" s="1"/>
  <c r="E49" i="1" s="1"/>
  <c r="F49" i="1" s="1"/>
  <c r="E41" i="1"/>
  <c r="F43" i="1" s="1"/>
  <c r="E42" i="2"/>
  <c r="F35" i="2"/>
  <c r="F37" i="2"/>
  <c r="C43" i="2"/>
  <c r="E48" i="2"/>
  <c r="F37" i="1"/>
  <c r="E62" i="1" s="1"/>
  <c r="F64" i="1" s="1"/>
  <c r="C65" i="1" s="1"/>
  <c r="F57" i="1" l="1"/>
  <c r="E41" i="2"/>
  <c r="F43" i="2" s="1"/>
  <c r="F55" i="2"/>
  <c r="E46" i="2"/>
  <c r="E47" i="2" s="1"/>
  <c r="E49" i="2" s="1"/>
  <c r="C38" i="2"/>
  <c r="E62" i="2"/>
  <c r="F64" i="2" s="1"/>
  <c r="C65" i="2" s="1"/>
  <c r="C38" i="1"/>
  <c r="F49" i="2" l="1"/>
  <c r="F57" i="2" s="1"/>
  <c r="F69" i="2" s="1"/>
  <c r="F69" i="1"/>
</calcChain>
</file>

<file path=xl/sharedStrings.xml><?xml version="1.0" encoding="utf-8"?>
<sst xmlns="http://schemas.openxmlformats.org/spreadsheetml/2006/main" count="137" uniqueCount="72">
  <si>
    <t xml:space="preserve">bedragen </t>
  </si>
  <si>
    <t>art wht</t>
  </si>
  <si>
    <t>maz subs huur 23-</t>
  </si>
  <si>
    <t>art 13.12a</t>
  </si>
  <si>
    <t>maz subs huur 23+</t>
  </si>
  <si>
    <t>basishuur</t>
  </si>
  <si>
    <t>art 16</t>
  </si>
  <si>
    <t>220,68+16,94</t>
  </si>
  <si>
    <t>basishuur pgl 1pers</t>
  </si>
  <si>
    <t>Naam belanghebbende</t>
  </si>
  <si>
    <t>basishuur pgl meer pers</t>
  </si>
  <si>
    <t>nummer</t>
  </si>
  <si>
    <t>Geboortedatum</t>
  </si>
  <si>
    <t>Aftoppingsgrens 1en 2 pers</t>
  </si>
  <si>
    <t>peildatum leeftijd</t>
  </si>
  <si>
    <t xml:space="preserve">Aftoppingsgens &gt;3 </t>
  </si>
  <si>
    <t>pgl</t>
  </si>
  <si>
    <t>Is de hoofdbewoner pensioengerechtigd of is de woning aangepast ivm handicap</t>
  </si>
  <si>
    <t>nee</t>
  </si>
  <si>
    <t>van de huurder, partner of medebewoner?</t>
  </si>
  <si>
    <t>ja</t>
  </si>
  <si>
    <t>grootte huishouding</t>
  </si>
  <si>
    <t>huishoudgrootte</t>
  </si>
  <si>
    <t>één</t>
  </si>
  <si>
    <t>bedragen per jaar</t>
  </si>
  <si>
    <t>twee</t>
  </si>
  <si>
    <t xml:space="preserve">Hypotheekrente: </t>
  </si>
  <si>
    <t>drie of meer</t>
  </si>
  <si>
    <t>Onroerend zaakbelasting</t>
  </si>
  <si>
    <t>Erfpachtcanon:</t>
  </si>
  <si>
    <t xml:space="preserve">Waterschapslast  </t>
  </si>
  <si>
    <t>Opstalverzekering:</t>
  </si>
  <si>
    <t>Rioolrecht:</t>
  </si>
  <si>
    <t>Algemeen beheer en administratie:</t>
  </si>
  <si>
    <t>Eigen CV installatie:</t>
  </si>
  <si>
    <t>Liftinstallatie:</t>
  </si>
  <si>
    <t>Onderhoudkosten*:</t>
  </si>
  <si>
    <t>totaal</t>
  </si>
  <si>
    <t>woonlasten per maand</t>
  </si>
  <si>
    <t>maximale huur voor huurtoeslag</t>
  </si>
  <si>
    <t>Deel dat volledig wordt gesubsidieerd</t>
  </si>
  <si>
    <t>kortingsgrens</t>
  </si>
  <si>
    <t>basishuur bij minimuminkomen</t>
  </si>
  <si>
    <t>Deel dat voor 65% wordt gesubsidieerd</t>
  </si>
  <si>
    <t>aftoppingsgrens</t>
  </si>
  <si>
    <t>deel maal 65%</t>
  </si>
  <si>
    <t>Eventueel (AOW-gerechtigden, alleenstaanden of aangepaste woning)</t>
  </si>
  <si>
    <t>Deel dat voor 40% wordt gesubsidieerd</t>
  </si>
  <si>
    <t>rekenhuur</t>
  </si>
  <si>
    <t>deel maal 40%</t>
  </si>
  <si>
    <t>woonkostentoeslag tot  huurtoeslaggrens</t>
  </si>
  <si>
    <t>woonkostentoeslag, woonlasten boven huurtoeslaggrens</t>
  </si>
  <si>
    <t>deel wkt voor woonlasten boven huurtoeslaggrens</t>
  </si>
  <si>
    <t>Woonkostentoeslag totaal per maand:</t>
  </si>
  <si>
    <t>© Wyzer Academie</t>
  </si>
  <si>
    <t>V. Achternaam</t>
  </si>
  <si>
    <t>overige kosten (invullen)</t>
  </si>
  <si>
    <t>bedragen per maand</t>
  </si>
  <si>
    <t>Subsidiabel</t>
  </si>
  <si>
    <t>Kale huurprijs per maand:</t>
  </si>
  <si>
    <t>Energiekosten voor gemeenschappelijke ruimten:</t>
  </si>
  <si>
    <t>Schoonmaakkosten gemeenschappelijke ruimten:</t>
  </si>
  <si>
    <t>Huismeesterkosten:</t>
  </si>
  <si>
    <t>Kosten voor dienst- en recreatieruimten:</t>
  </si>
  <si>
    <t>Huur voor standplaats woonwagen per maand:</t>
  </si>
  <si>
    <t>leeftijd hoofdbewoner op 01- 01- 2022</t>
  </si>
  <si>
    <t xml:space="preserve">Berekening woonkostentoeslag eigen woning vanaf 1 januari </t>
  </si>
  <si>
    <t xml:space="preserve">Berekening woonkostentoeslag huurwoning vanaf 1 januari </t>
  </si>
  <si>
    <t>art 13.1a</t>
  </si>
  <si>
    <t>art 13.1b</t>
  </si>
  <si>
    <t>Is iemand in het huishouden pensioengerechtigd of is de woning aangepast ivm handicap</t>
  </si>
  <si>
    <t>V Achternaam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</si>
</sst>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[$-413]d\ mmmm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28"/>
      <color rgb="FF00206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rgb="FF8C4187"/>
      <name val="Calibri"/>
      <family val="2"/>
      <scheme val="minor"/>
    </font>
    <font>
      <sz val="8"/>
      <color rgb="FF00206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7418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C418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0" fillId="2" borderId="0" xfId="0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 applyAlignment="1">
      <alignment horizontal="left"/>
    </xf>
    <xf numFmtId="0" fontId="4" fillId="0" borderId="0" xfId="0" applyFont="1" applyProtection="1">
      <protection locked="0"/>
    </xf>
    <xf numFmtId="0" fontId="7" fillId="3" borderId="0" xfId="0" applyFont="1" applyFill="1" applyAlignment="1">
      <alignment horizontal="center"/>
    </xf>
    <xf numFmtId="0" fontId="5" fillId="4" borderId="0" xfId="0" applyFont="1" applyFill="1"/>
    <xf numFmtId="0" fontId="6" fillId="5" borderId="0" xfId="0" applyFont="1" applyFill="1" applyProtection="1">
      <protection hidden="1"/>
    </xf>
    <xf numFmtId="0" fontId="5" fillId="5" borderId="0" xfId="0" applyFont="1" applyFill="1" applyAlignment="1" applyProtection="1">
      <alignment horizontal="right"/>
      <protection locked="0"/>
    </xf>
    <xf numFmtId="14" fontId="5" fillId="5" borderId="0" xfId="0" applyNumberFormat="1" applyFont="1" applyFill="1" applyAlignment="1" applyProtection="1">
      <alignment horizontal="right"/>
      <protection locked="0"/>
    </xf>
    <xf numFmtId="0" fontId="7" fillId="4" borderId="0" xfId="0" applyFont="1" applyFill="1"/>
    <xf numFmtId="14" fontId="5" fillId="4" borderId="0" xfId="0" applyNumberFormat="1" applyFont="1" applyFill="1"/>
    <xf numFmtId="0" fontId="7" fillId="5" borderId="0" xfId="0" applyFont="1" applyFill="1"/>
    <xf numFmtId="1" fontId="7" fillId="5" borderId="1" xfId="0" applyNumberFormat="1" applyFont="1" applyFill="1" applyBorder="1"/>
    <xf numFmtId="1" fontId="7" fillId="5" borderId="0" xfId="0" applyNumberFormat="1" applyFont="1" applyFill="1"/>
    <xf numFmtId="0" fontId="8" fillId="5" borderId="0" xfId="0" applyFont="1" applyFill="1"/>
    <xf numFmtId="0" fontId="5" fillId="5" borderId="0" xfId="0" applyFont="1" applyFill="1"/>
    <xf numFmtId="0" fontId="4" fillId="5" borderId="0" xfId="0" applyFont="1" applyFill="1" applyProtection="1">
      <protection locked="0"/>
    </xf>
    <xf numFmtId="0" fontId="2" fillId="3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9" fillId="5" borderId="0" xfId="0" applyFont="1" applyFill="1" applyAlignment="1" applyProtection="1">
      <alignment horizontal="left"/>
      <protection hidden="1"/>
    </xf>
    <xf numFmtId="0" fontId="3" fillId="5" borderId="0" xfId="0" applyFont="1" applyFill="1" applyProtection="1">
      <protection hidden="1"/>
    </xf>
    <xf numFmtId="164" fontId="3" fillId="3" borderId="0" xfId="0" applyNumberFormat="1" applyFont="1" applyFill="1" applyProtection="1">
      <protection locked="0" hidden="1"/>
    </xf>
    <xf numFmtId="164" fontId="3" fillId="3" borderId="0" xfId="0" applyNumberFormat="1" applyFont="1" applyFill="1" applyAlignment="1" applyProtection="1">
      <alignment vertical="center"/>
      <protection locked="0" hidden="1"/>
    </xf>
    <xf numFmtId="164" fontId="9" fillId="5" borderId="0" xfId="0" applyNumberFormat="1" applyFont="1" applyFill="1" applyAlignment="1" applyProtection="1">
      <alignment vertical="center"/>
      <protection locked="0" hidden="1"/>
    </xf>
    <xf numFmtId="164" fontId="5" fillId="4" borderId="0" xfId="0" applyNumberFormat="1" applyFont="1" applyFill="1"/>
    <xf numFmtId="164" fontId="5" fillId="5" borderId="0" xfId="0" applyNumberFormat="1" applyFont="1" applyFill="1"/>
    <xf numFmtId="0" fontId="12" fillId="5" borderId="0" xfId="0" applyFont="1" applyFill="1"/>
    <xf numFmtId="164" fontId="5" fillId="5" borderId="0" xfId="1" applyNumberFormat="1" applyFont="1" applyFill="1" applyProtection="1"/>
    <xf numFmtId="164" fontId="5" fillId="5" borderId="2" xfId="0" applyNumberFormat="1" applyFont="1" applyFill="1" applyBorder="1"/>
    <xf numFmtId="0" fontId="13" fillId="5" borderId="0" xfId="0" applyFont="1" applyFill="1"/>
    <xf numFmtId="164" fontId="13" fillId="5" borderId="0" xfId="0" applyNumberFormat="1" applyFont="1" applyFill="1"/>
    <xf numFmtId="164" fontId="13" fillId="5" borderId="2" xfId="0" applyNumberFormat="1" applyFont="1" applyFill="1" applyBorder="1"/>
    <xf numFmtId="0" fontId="13" fillId="4" borderId="0" xfId="0" applyFont="1" applyFill="1"/>
    <xf numFmtId="164" fontId="6" fillId="5" borderId="0" xfId="0" applyNumberFormat="1" applyFont="1" applyFill="1"/>
    <xf numFmtId="164" fontId="14" fillId="5" borderId="0" xfId="0" applyNumberFormat="1" applyFont="1" applyFill="1"/>
    <xf numFmtId="0" fontId="5" fillId="6" borderId="0" xfId="0" applyFont="1" applyFill="1"/>
    <xf numFmtId="0" fontId="7" fillId="6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7" fillId="5" borderId="0" xfId="0" applyFont="1" applyFill="1" applyAlignment="1">
      <alignment horizontal="center"/>
    </xf>
    <xf numFmtId="0" fontId="4" fillId="5" borderId="0" xfId="0" applyFont="1" applyFill="1"/>
    <xf numFmtId="164" fontId="7" fillId="5" borderId="0" xfId="0" applyNumberFormat="1" applyFont="1" applyFill="1"/>
    <xf numFmtId="0" fontId="4" fillId="2" borderId="0" xfId="0" applyFont="1" applyFill="1"/>
    <xf numFmtId="0" fontId="4" fillId="6" borderId="0" xfId="0" applyFont="1" applyFill="1"/>
    <xf numFmtId="0" fontId="15" fillId="5" borderId="0" xfId="0" applyFont="1" applyFill="1" applyAlignment="1">
      <alignment horizontal="left"/>
    </xf>
    <xf numFmtId="44" fontId="15" fillId="5" borderId="0" xfId="0" applyNumberFormat="1" applyFont="1" applyFill="1"/>
    <xf numFmtId="0" fontId="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5" fillId="2" borderId="0" xfId="0" applyFont="1" applyFill="1"/>
    <xf numFmtId="0" fontId="16" fillId="2" borderId="0" xfId="0" applyFont="1" applyFill="1" applyProtection="1">
      <protection hidden="1"/>
    </xf>
    <xf numFmtId="0" fontId="2" fillId="2" borderId="0" xfId="0" applyFont="1" applyFill="1" applyProtection="1"/>
    <xf numFmtId="0" fontId="3" fillId="2" borderId="0" xfId="0" applyFont="1" applyFill="1" applyProtection="1"/>
    <xf numFmtId="0" fontId="0" fillId="2" borderId="0" xfId="0" applyFill="1" applyProtection="1"/>
    <xf numFmtId="0" fontId="4" fillId="3" borderId="0" xfId="0" applyFont="1" applyFill="1" applyProtection="1"/>
    <xf numFmtId="0" fontId="5" fillId="3" borderId="0" xfId="0" applyFont="1" applyFill="1" applyProtection="1"/>
    <xf numFmtId="0" fontId="4" fillId="0" borderId="0" xfId="0" applyFont="1" applyProtection="1"/>
    <xf numFmtId="0" fontId="6" fillId="3" borderId="0" xfId="0" applyFont="1" applyFill="1" applyAlignment="1" applyProtection="1">
      <alignment horizontal="left"/>
    </xf>
    <xf numFmtId="0" fontId="7" fillId="3" borderId="0" xfId="0" applyFont="1" applyFill="1" applyAlignment="1" applyProtection="1">
      <alignment horizontal="center"/>
    </xf>
    <xf numFmtId="0" fontId="5" fillId="4" borderId="0" xfId="0" applyFont="1" applyFill="1" applyProtection="1"/>
    <xf numFmtId="0" fontId="6" fillId="5" borderId="0" xfId="0" applyFont="1" applyFill="1" applyProtection="1"/>
    <xf numFmtId="0" fontId="5" fillId="5" borderId="0" xfId="0" applyFont="1" applyFill="1" applyAlignment="1" applyProtection="1">
      <alignment horizontal="right"/>
    </xf>
    <xf numFmtId="14" fontId="5" fillId="5" borderId="0" xfId="0" applyNumberFormat="1" applyFont="1" applyFill="1" applyAlignment="1" applyProtection="1">
      <alignment horizontal="right"/>
    </xf>
    <xf numFmtId="0" fontId="7" fillId="4" borderId="0" xfId="0" applyFont="1" applyFill="1" applyProtection="1"/>
    <xf numFmtId="14" fontId="5" fillId="4" borderId="0" xfId="0" applyNumberFormat="1" applyFont="1" applyFill="1" applyProtection="1"/>
    <xf numFmtId="0" fontId="7" fillId="5" borderId="0" xfId="0" applyFont="1" applyFill="1" applyProtection="1"/>
    <xf numFmtId="1" fontId="7" fillId="5" borderId="1" xfId="0" applyNumberFormat="1" applyFont="1" applyFill="1" applyBorder="1" applyProtection="1"/>
    <xf numFmtId="1" fontId="7" fillId="5" borderId="0" xfId="0" applyNumberFormat="1" applyFont="1" applyFill="1" applyProtection="1"/>
    <xf numFmtId="0" fontId="8" fillId="5" borderId="0" xfId="0" applyFont="1" applyFill="1" applyProtection="1"/>
    <xf numFmtId="0" fontId="5" fillId="5" borderId="0" xfId="0" applyFont="1" applyFill="1" applyProtection="1"/>
    <xf numFmtId="0" fontId="4" fillId="5" borderId="0" xfId="0" applyFont="1" applyFill="1" applyProtection="1"/>
    <xf numFmtId="0" fontId="2" fillId="3" borderId="0" xfId="0" applyFont="1" applyFill="1" applyProtection="1"/>
    <xf numFmtId="0" fontId="3" fillId="4" borderId="0" xfId="0" applyFont="1" applyFill="1" applyProtection="1"/>
    <xf numFmtId="0" fontId="9" fillId="5" borderId="0" xfId="0" applyFont="1" applyFill="1" applyAlignment="1" applyProtection="1">
      <alignment horizontal="left"/>
    </xf>
    <xf numFmtId="0" fontId="3" fillId="5" borderId="0" xfId="0" applyFont="1" applyFill="1" applyProtection="1"/>
    <xf numFmtId="0" fontId="3" fillId="5" borderId="0" xfId="0" applyFont="1" applyFill="1" applyAlignment="1" applyProtection="1">
      <alignment vertical="center"/>
    </xf>
    <xf numFmtId="0" fontId="10" fillId="5" borderId="0" xfId="0" applyFont="1" applyFill="1" applyAlignment="1" applyProtection="1">
      <alignment horizontal="right"/>
    </xf>
    <xf numFmtId="0" fontId="10" fillId="4" borderId="0" xfId="0" applyFont="1" applyFill="1" applyAlignment="1" applyProtection="1">
      <alignment horizontal="right"/>
    </xf>
    <xf numFmtId="164" fontId="9" fillId="5" borderId="0" xfId="0" applyNumberFormat="1" applyFont="1" applyFill="1" applyProtection="1"/>
    <xf numFmtId="164" fontId="9" fillId="5" borderId="0" xfId="0" applyNumberFormat="1" applyFont="1" applyFill="1" applyAlignment="1" applyProtection="1">
      <alignment vertical="center"/>
    </xf>
    <xf numFmtId="164" fontId="5" fillId="4" borderId="0" xfId="0" applyNumberFormat="1" applyFont="1" applyFill="1" applyProtection="1"/>
    <xf numFmtId="164" fontId="5" fillId="5" borderId="0" xfId="0" applyNumberFormat="1" applyFont="1" applyFill="1" applyProtection="1"/>
    <xf numFmtId="0" fontId="12" fillId="5" borderId="0" xfId="0" applyFont="1" applyFill="1" applyProtection="1"/>
    <xf numFmtId="0" fontId="5" fillId="6" borderId="0" xfId="0" applyFont="1" applyFill="1" applyProtection="1"/>
    <xf numFmtId="0" fontId="7" fillId="6" borderId="0" xfId="0" applyFont="1" applyFill="1" applyAlignment="1" applyProtection="1">
      <alignment horizontal="left"/>
    </xf>
    <xf numFmtId="0" fontId="4" fillId="2" borderId="0" xfId="0" applyFont="1" applyFill="1" applyProtection="1"/>
    <xf numFmtId="0" fontId="4" fillId="6" borderId="0" xfId="0" applyFont="1" applyFill="1" applyProtection="1"/>
    <xf numFmtId="0" fontId="15" fillId="5" borderId="0" xfId="0" applyFont="1" applyFill="1" applyAlignment="1" applyProtection="1">
      <alignment horizontal="left"/>
    </xf>
    <xf numFmtId="44" fontId="15" fillId="5" borderId="0" xfId="0" applyNumberFormat="1" applyFont="1" applyFill="1" applyProtection="1"/>
    <xf numFmtId="0" fontId="5" fillId="2" borderId="0" xfId="0" applyFont="1" applyFill="1" applyProtection="1"/>
    <xf numFmtId="0" fontId="16" fillId="2" borderId="0" xfId="0" applyFont="1" applyFill="1" applyProtection="1"/>
    <xf numFmtId="164" fontId="3" fillId="3" borderId="0" xfId="0" applyNumberFormat="1" applyFont="1" applyFill="1" applyProtection="1">
      <protection locked="0"/>
    </xf>
    <xf numFmtId="164" fontId="3" fillId="3" borderId="0" xfId="0" applyNumberFormat="1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164" fontId="3" fillId="5" borderId="0" xfId="0" applyNumberFormat="1" applyFont="1" applyFill="1" applyProtection="1">
      <protection hidden="1"/>
    </xf>
    <xf numFmtId="164" fontId="3" fillId="5" borderId="0" xfId="0" applyNumberFormat="1" applyFont="1" applyFill="1" applyAlignment="1" applyProtection="1">
      <alignment vertical="center"/>
      <protection hidden="1"/>
    </xf>
    <xf numFmtId="165" fontId="5" fillId="4" borderId="0" xfId="0" applyNumberFormat="1" applyFont="1" applyFill="1" applyProtection="1"/>
    <xf numFmtId="0" fontId="6" fillId="3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18" fillId="0" borderId="0" xfId="0" applyFont="1" applyProtection="1"/>
    <xf numFmtId="0" fontId="17" fillId="2" borderId="0" xfId="0" applyFont="1" applyFill="1" applyProtection="1"/>
    <xf numFmtId="0" fontId="17" fillId="0" borderId="0" xfId="0" applyFont="1" applyProtection="1"/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center"/>
    </xf>
    <xf numFmtId="0" fontId="17" fillId="3" borderId="0" xfId="0" applyFont="1" applyFill="1" applyProtection="1"/>
    <xf numFmtId="0" fontId="17" fillId="2" borderId="0" xfId="0" applyFont="1" applyFill="1"/>
    <xf numFmtId="0" fontId="17" fillId="0" borderId="0" xfId="0" applyFont="1" applyAlignment="1" applyProtection="1">
      <alignment horizontal="left"/>
      <protection locked="0"/>
    </xf>
    <xf numFmtId="1" fontId="17" fillId="0" borderId="0" xfId="0" applyNumberFormat="1" applyFont="1" applyAlignment="1" applyProtection="1">
      <alignment horizontal="center"/>
      <protection locked="0"/>
    </xf>
    <xf numFmtId="15" fontId="17" fillId="0" borderId="0" xfId="0" applyNumberFormat="1" applyFont="1" applyAlignment="1" applyProtection="1">
      <alignment horizontal="left"/>
    </xf>
    <xf numFmtId="14" fontId="17" fillId="0" borderId="0" xfId="0" applyNumberFormat="1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1" fontId="17" fillId="0" borderId="0" xfId="0" applyNumberFormat="1" applyFont="1" applyAlignment="1" applyProtection="1">
      <alignment horizontal="left"/>
    </xf>
    <xf numFmtId="164" fontId="17" fillId="0" borderId="0" xfId="0" applyNumberFormat="1" applyFont="1" applyProtection="1"/>
    <xf numFmtId="0" fontId="5" fillId="3" borderId="0" xfId="0" applyFont="1" applyFill="1" applyAlignment="1" applyProtection="1">
      <alignment horizontal="left"/>
      <protection locked="0"/>
    </xf>
    <xf numFmtId="14" fontId="5" fillId="3" borderId="0" xfId="0" applyNumberFormat="1" applyFont="1" applyFill="1" applyAlignment="1" applyProtection="1">
      <alignment horizontal="left"/>
      <protection locked="0"/>
    </xf>
    <xf numFmtId="0" fontId="0" fillId="2" borderId="0" xfId="0" applyFont="1" applyFill="1"/>
    <xf numFmtId="0" fontId="19" fillId="0" borderId="0" xfId="0" applyFont="1" applyAlignment="1" applyProtection="1">
      <alignment horizontal="center"/>
    </xf>
    <xf numFmtId="0" fontId="19" fillId="0" borderId="0" xfId="0" applyFont="1" applyProtection="1"/>
    <xf numFmtId="0" fontId="18" fillId="2" borderId="0" xfId="0" applyFont="1" applyFill="1" applyProtection="1">
      <protection hidden="1"/>
    </xf>
    <xf numFmtId="0" fontId="17" fillId="0" borderId="0" xfId="0" applyFont="1"/>
    <xf numFmtId="0" fontId="19" fillId="0" borderId="0" xfId="0" applyFont="1" applyAlignment="1">
      <alignment horizontal="center"/>
    </xf>
    <xf numFmtId="164" fontId="17" fillId="0" borderId="0" xfId="0" applyNumberFormat="1" applyFont="1"/>
    <xf numFmtId="0" fontId="19" fillId="0" borderId="0" xfId="0" applyFo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2" dropStyle="combo" dx="22" fmlaLink="$J$16" fmlaRange="$I$17:$I$18" noThreeD="1" sel="1" val="0"/>
</file>

<file path=xl/ctrlProps/ctrlProp2.xml><?xml version="1.0" encoding="utf-8"?>
<formControlPr xmlns="http://schemas.microsoft.com/office/spreadsheetml/2009/9/main" objectType="Drop" dropLines="3" dropStyle="combo" dx="22" fmlaLink="$J$20" fmlaRange="$I$21:$I$23" noThreeD="1" sel="2" val="0"/>
</file>

<file path=xl/ctrlProps/ctrlProp3.xml><?xml version="1.0" encoding="utf-8"?>
<formControlPr xmlns="http://schemas.microsoft.com/office/spreadsheetml/2009/9/main" objectType="Drop" dropStyle="combo" dx="22" fmlaLink="$I$9" fmlaRange="$J$31:$J$36" noThreeD="1" sel="1" val="0"/>
</file>

<file path=xl/ctrlProps/ctrlProp4.xml><?xml version="1.0" encoding="utf-8"?>
<formControlPr xmlns="http://schemas.microsoft.com/office/spreadsheetml/2009/9/main" objectType="Drop" dropLines="2" dropStyle="combo" dx="22" fmlaLink="$J$16" fmlaRange="$I$17:$I$18" noThreeD="1" sel="1" val="0"/>
</file>

<file path=xl/ctrlProps/ctrlProp5.xml><?xml version="1.0" encoding="utf-8"?>
<formControlPr xmlns="http://schemas.microsoft.com/office/spreadsheetml/2009/9/main" objectType="Drop" dropLines="3" dropStyle="combo" dx="22" fmlaLink="$J$20" fmlaRange="$I$21:$I$23" noThreeD="1" sel="2" val="0"/>
</file>

<file path=xl/ctrlProps/ctrlProp6.xml><?xml version="1.0" encoding="utf-8"?>
<formControlPr xmlns="http://schemas.microsoft.com/office/spreadsheetml/2009/9/main" objectType="Drop" dropStyle="combo" dx="22" fmlaLink="$I$9" fmlaRange="$J$31:$J$36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739140</xdr:colOff>
      <xdr:row>1</xdr:row>
      <xdr:rowOff>7619</xdr:rowOff>
    </xdr:from>
    <xdr:to>
      <xdr:col>5</xdr:col>
      <xdr:colOff>157527</xdr:colOff>
      <xdr:row>5</xdr:row>
      <xdr:rowOff>85724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940" y="160019"/>
          <a:ext cx="3714162" cy="8401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17</xdr:row>
          <xdr:rowOff>19050</xdr:rowOff>
        </xdr:from>
        <xdr:to>
          <xdr:col>5</xdr:col>
          <xdr:colOff>19050</xdr:colOff>
          <xdr:row>17</xdr:row>
          <xdr:rowOff>171450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19</xdr:row>
          <xdr:rowOff>9525</xdr:rowOff>
        </xdr:from>
        <xdr:to>
          <xdr:col>5</xdr:col>
          <xdr:colOff>19050</xdr:colOff>
          <xdr:row>19</xdr:row>
          <xdr:rowOff>161925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8</xdr:row>
          <xdr:rowOff>47625</xdr:rowOff>
        </xdr:from>
        <xdr:to>
          <xdr:col>4</xdr:col>
          <xdr:colOff>1009650</xdr:colOff>
          <xdr:row>9</xdr:row>
          <xdr:rowOff>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739140</xdr:colOff>
      <xdr:row>1</xdr:row>
      <xdr:rowOff>7619</xdr:rowOff>
    </xdr:from>
    <xdr:to>
      <xdr:col>5</xdr:col>
      <xdr:colOff>157527</xdr:colOff>
      <xdr:row>5</xdr:row>
      <xdr:rowOff>85724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940" y="160019"/>
          <a:ext cx="3714162" cy="8401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17</xdr:row>
          <xdr:rowOff>19050</xdr:rowOff>
        </xdr:from>
        <xdr:to>
          <xdr:col>5</xdr:col>
          <xdr:colOff>19050</xdr:colOff>
          <xdr:row>17</xdr:row>
          <xdr:rowOff>171450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19</xdr:row>
          <xdr:rowOff>9525</xdr:rowOff>
        </xdr:from>
        <xdr:to>
          <xdr:col>5</xdr:col>
          <xdr:colOff>19050</xdr:colOff>
          <xdr:row>19</xdr:row>
          <xdr:rowOff>161925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8</xdr:row>
          <xdr:rowOff>19050</xdr:rowOff>
        </xdr:from>
        <xdr:to>
          <xdr:col>5</xdr:col>
          <xdr:colOff>133350</xdr:colOff>
          <xdr:row>9</xdr:row>
          <xdr:rowOff>28575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3"/>
  <dimension ref="A1:W75"/>
  <sheetViews>
    <sheetView tabSelected="1" workbookViewId="0">
      <selection activeCell="AG28" sqref="AG28:AH28"/>
    </sheetView>
  </sheetViews>
  <sheetFormatPr defaultRowHeight="15" x14ac:dyDescent="0.25"/>
  <cols>
    <col min="1" max="2" width="5.140625" style="1" customWidth="1"/>
    <col min="3" max="3" width="34.28515625" style="1" customWidth="1"/>
    <col min="4" max="4" width="13.7109375" style="1" customWidth="1"/>
    <col min="5" max="6" width="16.42578125" style="1" customWidth="1"/>
    <col min="7" max="7" width="4.7109375" style="1" customWidth="1"/>
    <col min="8" max="8" width="2.5703125" style="107" hidden="1" customWidth="1"/>
    <col min="9" max="9" width="16.85546875" style="102" hidden="1" customWidth="1"/>
    <col min="10" max="10" width="11.7109375" style="102" hidden="1" customWidth="1"/>
    <col min="11" max="14" width="17.42578125" style="102" hidden="1" customWidth="1"/>
    <col min="15" max="20" width="9.140625" style="102" hidden="1" customWidth="1"/>
    <col min="21" max="21" width="9.140625" style="117" hidden="1" customWidth="1"/>
    <col min="22" max="23" width="9.140625" style="1" hidden="1" customWidth="1"/>
    <col min="24" max="25" width="0" style="1" hidden="1" customWidth="1"/>
    <col min="26" max="16384" width="9.140625" style="1"/>
  </cols>
  <sheetData>
    <row r="1" spans="1:14" x14ac:dyDescent="0.25">
      <c r="A1" s="47"/>
      <c r="B1" s="48"/>
      <c r="C1" s="48"/>
      <c r="D1" s="48"/>
      <c r="E1" s="48"/>
      <c r="F1" s="48"/>
      <c r="G1" s="48"/>
      <c r="H1" s="120"/>
      <c r="I1" s="101"/>
      <c r="J1" s="101"/>
      <c r="K1" s="101"/>
      <c r="L1" s="101"/>
      <c r="M1" s="101"/>
      <c r="N1" s="101"/>
    </row>
    <row r="2" spans="1:14" x14ac:dyDescent="0.25">
      <c r="A2" s="47"/>
      <c r="B2" s="48"/>
      <c r="C2" s="48"/>
      <c r="D2" s="48"/>
      <c r="E2" s="48"/>
      <c r="F2" s="48"/>
      <c r="G2" s="48"/>
      <c r="H2" s="120"/>
      <c r="I2" s="101"/>
      <c r="J2" s="101"/>
      <c r="K2" s="101"/>
      <c r="L2" s="101"/>
      <c r="M2" s="101"/>
      <c r="N2" s="101"/>
    </row>
    <row r="3" spans="1:14" x14ac:dyDescent="0.25">
      <c r="A3" s="47"/>
      <c r="B3" s="48"/>
      <c r="C3" s="48"/>
      <c r="D3" s="48"/>
      <c r="E3" s="48"/>
      <c r="F3" s="48"/>
      <c r="G3" s="48"/>
      <c r="H3" s="120"/>
      <c r="I3" s="101"/>
      <c r="J3" s="101"/>
      <c r="K3" s="101"/>
      <c r="L3" s="101"/>
      <c r="M3" s="101"/>
      <c r="N3" s="101"/>
    </row>
    <row r="4" spans="1:14" x14ac:dyDescent="0.25">
      <c r="A4" s="47"/>
      <c r="B4" s="48"/>
      <c r="C4" s="48"/>
      <c r="D4" s="48"/>
      <c r="E4" s="48"/>
      <c r="F4" s="48"/>
      <c r="G4" s="48"/>
      <c r="H4" s="120"/>
      <c r="I4" s="101"/>
      <c r="J4" s="101"/>
      <c r="K4" s="101" t="s">
        <v>0</v>
      </c>
      <c r="L4" s="101"/>
      <c r="M4" s="101" t="s">
        <v>1</v>
      </c>
      <c r="N4" s="101"/>
    </row>
    <row r="5" spans="1:14" x14ac:dyDescent="0.25">
      <c r="A5" s="47"/>
      <c r="B5" s="48"/>
      <c r="C5" s="48"/>
      <c r="D5" s="48"/>
      <c r="E5" s="48"/>
      <c r="F5" s="48"/>
      <c r="G5" s="48"/>
      <c r="H5" s="120"/>
      <c r="I5" s="101"/>
      <c r="J5" s="101"/>
      <c r="K5" s="101"/>
      <c r="L5" s="101"/>
      <c r="M5" s="101"/>
      <c r="N5" s="101"/>
    </row>
    <row r="6" spans="1:14" x14ac:dyDescent="0.25">
      <c r="A6" s="47"/>
      <c r="B6" s="48"/>
      <c r="C6" s="48"/>
      <c r="D6" s="48"/>
      <c r="E6" s="48"/>
      <c r="F6" s="48"/>
      <c r="G6" s="48"/>
      <c r="H6" s="120"/>
      <c r="I6" s="101"/>
      <c r="J6" s="101"/>
      <c r="K6" s="101"/>
      <c r="L6" s="101"/>
      <c r="M6" s="101"/>
      <c r="N6" s="101"/>
    </row>
    <row r="7" spans="1:14" x14ac:dyDescent="0.25">
      <c r="A7" s="47"/>
      <c r="B7" s="48"/>
      <c r="C7" s="48"/>
      <c r="D7" s="48"/>
      <c r="E7" s="98"/>
      <c r="F7" s="98"/>
      <c r="G7" s="98"/>
      <c r="H7" s="120"/>
      <c r="I7" s="101"/>
      <c r="J7" s="101"/>
      <c r="K7" s="101" t="s">
        <v>4</v>
      </c>
      <c r="L7" s="101">
        <f>VLOOKUP($I$9,$K$31:$S$35,3,FALSE)</f>
        <v>763.47</v>
      </c>
      <c r="M7" s="101" t="s">
        <v>68</v>
      </c>
      <c r="N7" s="101"/>
    </row>
    <row r="8" spans="1:14" x14ac:dyDescent="0.25">
      <c r="A8" s="2"/>
      <c r="B8" s="3"/>
      <c r="C8" s="3"/>
      <c r="D8" s="3"/>
      <c r="E8" s="99"/>
      <c r="F8" s="99"/>
      <c r="G8" s="99"/>
      <c r="H8" s="121"/>
      <c r="I8" s="103"/>
      <c r="J8" s="103"/>
      <c r="K8" s="101" t="s">
        <v>2</v>
      </c>
      <c r="L8" s="101">
        <f>VLOOKUP($I$9,$K$31:$S$35,4,FALSE)</f>
        <v>442.46</v>
      </c>
      <c r="M8" s="101" t="s">
        <v>69</v>
      </c>
      <c r="N8" s="103"/>
    </row>
    <row r="9" spans="1:14" ht="15.75" x14ac:dyDescent="0.25">
      <c r="A9" s="2"/>
      <c r="B9" s="4" t="s">
        <v>67</v>
      </c>
      <c r="C9" s="4"/>
      <c r="D9" s="4"/>
      <c r="E9" s="97"/>
      <c r="F9" s="97"/>
      <c r="G9" s="97"/>
      <c r="H9" s="122"/>
      <c r="I9" s="103">
        <v>1</v>
      </c>
      <c r="J9" s="103">
        <v>2</v>
      </c>
      <c r="K9" s="103"/>
      <c r="L9" s="101"/>
      <c r="M9" s="103"/>
      <c r="N9" s="103"/>
    </row>
    <row r="10" spans="1:14" x14ac:dyDescent="0.25">
      <c r="A10" s="2"/>
      <c r="B10" s="6"/>
      <c r="C10" s="6"/>
      <c r="D10" s="6"/>
      <c r="E10" s="100"/>
      <c r="F10" s="100"/>
      <c r="G10" s="100"/>
      <c r="H10" s="122"/>
      <c r="I10" s="103"/>
      <c r="J10" s="103"/>
      <c r="K10" s="103" t="s">
        <v>5</v>
      </c>
      <c r="L10" s="101">
        <f>VLOOKUP($I$9,$K$31:$S$35,5,FALSE)</f>
        <v>237.62</v>
      </c>
      <c r="M10" s="103" t="s">
        <v>6</v>
      </c>
      <c r="N10" s="103" t="s">
        <v>7</v>
      </c>
    </row>
    <row r="11" spans="1:14" x14ac:dyDescent="0.25">
      <c r="A11" s="2"/>
      <c r="B11" s="7"/>
      <c r="C11" s="7"/>
      <c r="D11" s="7"/>
      <c r="E11" s="7"/>
      <c r="F11" s="7"/>
      <c r="G11" s="7"/>
      <c r="H11" s="122"/>
      <c r="I11" s="103"/>
      <c r="J11" s="103"/>
      <c r="K11" s="103" t="s">
        <v>8</v>
      </c>
      <c r="L11" s="101">
        <f>VLOOKUP($I$9,$K$31:$S$35,6,FALSE)</f>
        <v>235.8</v>
      </c>
      <c r="M11" s="103"/>
      <c r="N11" s="103"/>
    </row>
    <row r="12" spans="1:14" ht="15.75" x14ac:dyDescent="0.25">
      <c r="A12" s="2"/>
      <c r="B12" s="7"/>
      <c r="C12" s="8" t="s">
        <v>9</v>
      </c>
      <c r="D12" s="115" t="s">
        <v>55</v>
      </c>
      <c r="E12" s="115"/>
      <c r="F12" s="9"/>
      <c r="G12" s="7"/>
      <c r="H12" s="121"/>
      <c r="I12" s="103"/>
      <c r="J12" s="103"/>
      <c r="K12" s="103" t="s">
        <v>10</v>
      </c>
      <c r="L12" s="101">
        <f>VLOOKUP($I$9,$K$31:$S$35,7,FALSE)</f>
        <v>233.99</v>
      </c>
      <c r="M12" s="103"/>
      <c r="N12" s="103"/>
    </row>
    <row r="13" spans="1:14" ht="15.75" x14ac:dyDescent="0.25">
      <c r="A13" s="2"/>
      <c r="B13" s="7"/>
      <c r="C13" s="8" t="s">
        <v>11</v>
      </c>
      <c r="D13" s="115">
        <v>123456789</v>
      </c>
      <c r="E13" s="115"/>
      <c r="F13" s="9"/>
      <c r="G13" s="7"/>
      <c r="H13" s="121"/>
      <c r="I13" s="103"/>
      <c r="J13" s="103"/>
      <c r="K13" s="103"/>
      <c r="L13" s="101"/>
      <c r="M13" s="103"/>
      <c r="N13" s="103"/>
    </row>
    <row r="14" spans="1:14" ht="15.75" x14ac:dyDescent="0.25">
      <c r="A14" s="2"/>
      <c r="B14" s="7"/>
      <c r="C14" s="8" t="s">
        <v>12</v>
      </c>
      <c r="D14" s="116">
        <v>18628</v>
      </c>
      <c r="E14" s="116"/>
      <c r="F14" s="10"/>
      <c r="G14" s="7"/>
      <c r="H14" s="121"/>
      <c r="I14" s="103"/>
      <c r="J14" s="103"/>
      <c r="K14" s="103" t="s">
        <v>13</v>
      </c>
      <c r="L14" s="101">
        <f>VLOOKUP($I$9,$K$31:$S$35,8,FALSE)</f>
        <v>633.25</v>
      </c>
      <c r="M14" s="103"/>
      <c r="N14" s="103"/>
    </row>
    <row r="15" spans="1:14" x14ac:dyDescent="0.25">
      <c r="A15" s="2"/>
      <c r="B15" s="7"/>
      <c r="C15" s="11" t="s">
        <v>14</v>
      </c>
      <c r="D15" s="11"/>
      <c r="E15" s="96">
        <f>VLOOKUP(I9,K31:L35,2,FALSE)</f>
        <v>44562</v>
      </c>
      <c r="F15" s="12"/>
      <c r="G15" s="7"/>
      <c r="H15" s="121"/>
      <c r="I15" s="103"/>
      <c r="J15" s="103"/>
      <c r="K15" s="103" t="s">
        <v>15</v>
      </c>
      <c r="L15" s="101">
        <f>VLOOKUP($I$9,$K$31:$S$35,9,FALSE)</f>
        <v>678.66</v>
      </c>
      <c r="M15" s="103"/>
      <c r="N15" s="103"/>
    </row>
    <row r="16" spans="1:14" x14ac:dyDescent="0.25">
      <c r="A16" s="2"/>
      <c r="B16" s="7"/>
      <c r="C16" s="13" t="s">
        <v>65</v>
      </c>
      <c r="D16" s="13"/>
      <c r="E16" s="14">
        <f>((E15-D14)/365.25)</f>
        <v>71.00342231348391</v>
      </c>
      <c r="F16" s="15"/>
      <c r="G16" s="7"/>
      <c r="H16" s="121"/>
      <c r="I16" s="103" t="s">
        <v>16</v>
      </c>
      <c r="J16" s="104">
        <v>1</v>
      </c>
      <c r="K16" s="103"/>
      <c r="L16" s="103"/>
      <c r="M16" s="103"/>
      <c r="N16" s="103"/>
    </row>
    <row r="17" spans="1:20" x14ac:dyDescent="0.25">
      <c r="A17" s="2"/>
      <c r="B17" s="7"/>
      <c r="C17" s="13" t="s">
        <v>70</v>
      </c>
      <c r="D17" s="13"/>
      <c r="E17" s="15"/>
      <c r="F17" s="15"/>
      <c r="G17" s="7"/>
      <c r="H17" s="121"/>
      <c r="I17" s="103" t="s">
        <v>18</v>
      </c>
      <c r="J17" s="103"/>
      <c r="K17" s="103"/>
      <c r="L17" s="103"/>
      <c r="M17" s="103"/>
      <c r="N17" s="103"/>
    </row>
    <row r="18" spans="1:20" x14ac:dyDescent="0.25">
      <c r="A18" s="2"/>
      <c r="B18" s="7"/>
      <c r="C18" s="16" t="s">
        <v>19</v>
      </c>
      <c r="D18" s="13"/>
      <c r="E18" s="15"/>
      <c r="F18" s="15"/>
      <c r="G18" s="7"/>
      <c r="H18" s="121"/>
      <c r="I18" s="103" t="s">
        <v>20</v>
      </c>
      <c r="J18" s="103"/>
      <c r="K18" s="103"/>
      <c r="L18" s="103"/>
      <c r="M18" s="103"/>
      <c r="N18" s="103"/>
    </row>
    <row r="19" spans="1:20" x14ac:dyDescent="0.25">
      <c r="A19" s="2"/>
      <c r="B19" s="7"/>
      <c r="C19" s="17"/>
      <c r="D19" s="17"/>
      <c r="E19" s="17"/>
      <c r="F19" s="17"/>
      <c r="G19" s="7"/>
      <c r="H19" s="121"/>
      <c r="I19" s="103"/>
      <c r="J19" s="103"/>
      <c r="K19" s="103"/>
      <c r="L19" s="103"/>
      <c r="M19" s="103"/>
      <c r="N19" s="103"/>
    </row>
    <row r="20" spans="1:20" x14ac:dyDescent="0.25">
      <c r="A20" s="2"/>
      <c r="B20" s="7"/>
      <c r="C20" s="13" t="s">
        <v>21</v>
      </c>
      <c r="D20" s="18"/>
      <c r="E20" s="5"/>
      <c r="F20" s="18"/>
      <c r="G20" s="7"/>
      <c r="H20" s="121"/>
      <c r="I20" s="103" t="s">
        <v>22</v>
      </c>
      <c r="J20" s="104">
        <v>2</v>
      </c>
      <c r="K20" s="105"/>
      <c r="L20" s="105"/>
      <c r="M20" s="105"/>
      <c r="N20" s="105"/>
    </row>
    <row r="21" spans="1:20" x14ac:dyDescent="0.25">
      <c r="A21" s="2"/>
      <c r="B21" s="7"/>
      <c r="C21" s="7"/>
      <c r="D21" s="7"/>
      <c r="E21" s="7"/>
      <c r="F21" s="7"/>
      <c r="G21" s="7"/>
      <c r="H21" s="121"/>
      <c r="I21" s="103" t="s">
        <v>23</v>
      </c>
      <c r="J21" s="103"/>
      <c r="K21" s="103"/>
      <c r="L21" s="103"/>
      <c r="M21" s="103"/>
      <c r="N21" s="103"/>
    </row>
    <row r="22" spans="1:20" hidden="1" x14ac:dyDescent="0.25">
      <c r="A22" s="19"/>
      <c r="B22" s="20"/>
      <c r="C22" s="21" t="s">
        <v>24</v>
      </c>
      <c r="D22" s="21"/>
      <c r="E22" s="21"/>
      <c r="F22" s="22"/>
      <c r="G22" s="20"/>
      <c r="H22" s="121"/>
      <c r="I22" s="103" t="s">
        <v>25</v>
      </c>
      <c r="J22" s="103"/>
      <c r="K22" s="103"/>
      <c r="L22" s="103"/>
      <c r="M22" s="103"/>
      <c r="N22" s="103"/>
    </row>
    <row r="23" spans="1:20" hidden="1" x14ac:dyDescent="0.25">
      <c r="A23" s="19"/>
      <c r="B23" s="20"/>
      <c r="C23" s="22" t="s">
        <v>26</v>
      </c>
      <c r="D23" s="22"/>
      <c r="E23" s="23"/>
      <c r="F23" s="22"/>
      <c r="G23" s="20"/>
      <c r="H23" s="121"/>
      <c r="I23" s="103" t="s">
        <v>27</v>
      </c>
      <c r="J23" s="103"/>
      <c r="K23" s="103"/>
      <c r="L23" s="103"/>
      <c r="M23" s="103"/>
      <c r="N23" s="103"/>
    </row>
    <row r="24" spans="1:20" hidden="1" x14ac:dyDescent="0.25">
      <c r="A24" s="19"/>
      <c r="B24" s="20"/>
      <c r="C24" s="22" t="s">
        <v>28</v>
      </c>
      <c r="D24" s="22"/>
      <c r="E24" s="23"/>
      <c r="F24" s="22"/>
      <c r="G24" s="20"/>
      <c r="H24" s="121"/>
      <c r="I24" s="103"/>
      <c r="J24" s="103"/>
      <c r="K24" s="103"/>
      <c r="L24" s="103"/>
      <c r="M24" s="103"/>
      <c r="N24" s="103"/>
    </row>
    <row r="25" spans="1:20" hidden="1" x14ac:dyDescent="0.25">
      <c r="A25" s="19"/>
      <c r="B25" s="20"/>
      <c r="C25" s="22" t="s">
        <v>29</v>
      </c>
      <c r="D25" s="22"/>
      <c r="E25" s="23"/>
      <c r="F25" s="22"/>
      <c r="G25" s="20"/>
      <c r="H25" s="121"/>
      <c r="I25" s="103"/>
      <c r="J25" s="103"/>
      <c r="K25" s="103"/>
      <c r="L25" s="103"/>
      <c r="M25" s="103"/>
      <c r="N25" s="103"/>
    </row>
    <row r="26" spans="1:20" hidden="1" x14ac:dyDescent="0.25">
      <c r="A26" s="19"/>
      <c r="B26" s="20"/>
      <c r="C26" s="22" t="s">
        <v>30</v>
      </c>
      <c r="D26" s="22"/>
      <c r="E26" s="23"/>
      <c r="F26" s="22"/>
      <c r="G26" s="20"/>
      <c r="H26" s="121"/>
      <c r="I26" s="103"/>
      <c r="J26" s="103"/>
      <c r="K26" s="103"/>
      <c r="L26" s="103"/>
      <c r="M26" s="103"/>
      <c r="N26" s="103"/>
    </row>
    <row r="27" spans="1:20" hidden="1" x14ac:dyDescent="0.25">
      <c r="A27" s="19"/>
      <c r="B27" s="20"/>
      <c r="C27" s="22" t="s">
        <v>31</v>
      </c>
      <c r="D27" s="22"/>
      <c r="E27" s="23"/>
      <c r="F27" s="22"/>
      <c r="G27" s="20"/>
      <c r="H27" s="121"/>
      <c r="I27" s="103"/>
      <c r="J27" s="103"/>
      <c r="K27" s="106"/>
      <c r="L27" s="106"/>
      <c r="M27" s="106"/>
      <c r="N27" s="106"/>
    </row>
    <row r="28" spans="1:20" x14ac:dyDescent="0.25">
      <c r="A28" s="2"/>
      <c r="B28" s="7"/>
      <c r="C28" s="39" t="s">
        <v>57</v>
      </c>
      <c r="D28" s="39"/>
      <c r="E28" s="39"/>
      <c r="F28" s="39" t="s">
        <v>58</v>
      </c>
      <c r="G28" s="7"/>
      <c r="H28" s="121"/>
      <c r="I28" s="103"/>
      <c r="J28" s="103"/>
      <c r="K28" s="103"/>
      <c r="L28" s="103"/>
      <c r="M28" s="103"/>
      <c r="N28" s="103"/>
    </row>
    <row r="29" spans="1:20" x14ac:dyDescent="0.25">
      <c r="A29" s="2"/>
      <c r="B29" s="7"/>
      <c r="C29" s="17" t="s">
        <v>59</v>
      </c>
      <c r="D29" s="17"/>
      <c r="E29" s="23">
        <v>700</v>
      </c>
      <c r="F29" s="94">
        <f>E29</f>
        <v>700</v>
      </c>
      <c r="G29" s="7"/>
      <c r="H29" s="121"/>
      <c r="I29" s="103"/>
      <c r="J29" s="103"/>
      <c r="K29" s="103"/>
      <c r="L29" s="103"/>
      <c r="M29" s="101" t="s">
        <v>2</v>
      </c>
      <c r="N29" s="101" t="s">
        <v>4</v>
      </c>
      <c r="O29" s="103" t="s">
        <v>5</v>
      </c>
      <c r="P29" s="103" t="s">
        <v>8</v>
      </c>
      <c r="Q29" s="103" t="s">
        <v>10</v>
      </c>
      <c r="R29" s="103" t="s">
        <v>13</v>
      </c>
      <c r="S29" s="103" t="s">
        <v>15</v>
      </c>
      <c r="T29" s="107"/>
    </row>
    <row r="30" spans="1:20" x14ac:dyDescent="0.25">
      <c r="A30" s="2"/>
      <c r="B30" s="7"/>
      <c r="C30" s="17" t="s">
        <v>60</v>
      </c>
      <c r="D30" s="17"/>
      <c r="E30" s="23"/>
      <c r="F30" s="94">
        <f>IF(E30&lt;12,E30,12)</f>
        <v>0</v>
      </c>
      <c r="G30" s="26"/>
      <c r="H30" s="121"/>
      <c r="I30" s="103"/>
      <c r="J30" s="103"/>
      <c r="K30" s="103"/>
      <c r="L30" s="103"/>
      <c r="M30" s="103"/>
      <c r="N30" s="103"/>
    </row>
    <row r="31" spans="1:20" x14ac:dyDescent="0.25">
      <c r="A31" s="2"/>
      <c r="B31" s="7"/>
      <c r="C31" s="17" t="s">
        <v>61</v>
      </c>
      <c r="D31" s="17"/>
      <c r="E31" s="23"/>
      <c r="F31" s="94">
        <f t="shared" ref="F31:F33" si="0">IF(E31&lt;12,E31,12)</f>
        <v>0</v>
      </c>
      <c r="G31" s="7"/>
      <c r="H31" s="121"/>
      <c r="I31" s="103"/>
      <c r="J31" s="108">
        <v>2022</v>
      </c>
      <c r="K31" s="109">
        <v>1</v>
      </c>
      <c r="L31" s="110">
        <v>44562</v>
      </c>
      <c r="M31" s="101">
        <v>763.47</v>
      </c>
      <c r="N31" s="103">
        <v>442.46</v>
      </c>
      <c r="O31" s="103">
        <v>237.62</v>
      </c>
      <c r="P31" s="103">
        <v>235.8</v>
      </c>
      <c r="Q31" s="103">
        <v>233.99</v>
      </c>
      <c r="R31" s="103">
        <v>633.25</v>
      </c>
      <c r="S31" s="103">
        <v>678.66</v>
      </c>
    </row>
    <row r="32" spans="1:20" x14ac:dyDescent="0.25">
      <c r="A32" s="2"/>
      <c r="B32" s="7"/>
      <c r="C32" s="17" t="s">
        <v>62</v>
      </c>
      <c r="D32" s="17"/>
      <c r="E32" s="23"/>
      <c r="F32" s="94">
        <f t="shared" si="0"/>
        <v>0</v>
      </c>
      <c r="G32" s="7"/>
      <c r="H32" s="121"/>
      <c r="I32" s="103"/>
      <c r="J32" s="108">
        <v>2021</v>
      </c>
      <c r="K32" s="109">
        <v>2</v>
      </c>
      <c r="L32" s="111">
        <v>44197</v>
      </c>
      <c r="M32" s="103">
        <v>752.33</v>
      </c>
      <c r="N32" s="103">
        <v>442.46</v>
      </c>
      <c r="O32" s="103">
        <v>237.62</v>
      </c>
      <c r="P32" s="103">
        <v>235.8</v>
      </c>
      <c r="Q32" s="103">
        <v>233.99</v>
      </c>
      <c r="R32" s="103">
        <v>633.25</v>
      </c>
      <c r="S32" s="103">
        <v>678.66</v>
      </c>
    </row>
    <row r="33" spans="1:19" x14ac:dyDescent="0.25">
      <c r="A33" s="2"/>
      <c r="B33" s="7"/>
      <c r="C33" s="17" t="s">
        <v>63</v>
      </c>
      <c r="D33" s="17"/>
      <c r="E33" s="23"/>
      <c r="F33" s="94">
        <f t="shared" si="0"/>
        <v>0</v>
      </c>
      <c r="G33" s="7"/>
      <c r="H33" s="121"/>
      <c r="I33" s="103"/>
      <c r="J33" s="108">
        <v>2020</v>
      </c>
      <c r="K33" s="109">
        <v>3</v>
      </c>
      <c r="L33" s="110">
        <v>43831</v>
      </c>
      <c r="M33" s="103">
        <v>737.14</v>
      </c>
      <c r="N33" s="103">
        <v>432.51</v>
      </c>
      <c r="O33" s="102">
        <v>232.65</v>
      </c>
      <c r="P33" s="102">
        <v>230.83</v>
      </c>
      <c r="Q33" s="102">
        <v>229.02</v>
      </c>
      <c r="R33" s="102">
        <v>619.01</v>
      </c>
      <c r="S33" s="102">
        <v>663.4</v>
      </c>
    </row>
    <row r="34" spans="1:19" x14ac:dyDescent="0.25">
      <c r="A34" s="2"/>
      <c r="B34" s="7"/>
      <c r="C34" s="17" t="s">
        <v>64</v>
      </c>
      <c r="D34" s="17"/>
      <c r="E34" s="24"/>
      <c r="F34" s="95">
        <f>E34</f>
        <v>0</v>
      </c>
      <c r="G34" s="26"/>
      <c r="H34" s="121"/>
      <c r="I34" s="103"/>
      <c r="J34" s="108">
        <v>2019</v>
      </c>
      <c r="K34" s="109">
        <v>4</v>
      </c>
      <c r="L34" s="110">
        <v>43466</v>
      </c>
      <c r="M34" s="103">
        <v>720.42</v>
      </c>
      <c r="N34" s="103">
        <v>424.44</v>
      </c>
      <c r="O34" s="102">
        <v>228.62</v>
      </c>
      <c r="P34" s="102">
        <v>226.8</v>
      </c>
      <c r="Q34" s="102">
        <v>224.99</v>
      </c>
      <c r="R34" s="102">
        <v>607.46</v>
      </c>
      <c r="S34" s="102">
        <v>651.03</v>
      </c>
    </row>
    <row r="35" spans="1:19" x14ac:dyDescent="0.25">
      <c r="A35" s="2"/>
      <c r="B35" s="7"/>
      <c r="C35" s="17" t="s">
        <v>38</v>
      </c>
      <c r="D35" s="17"/>
      <c r="E35" s="25">
        <f>SUM(E29:E34)</f>
        <v>700</v>
      </c>
      <c r="F35" s="25">
        <f>SUM(F29:F34)</f>
        <v>700</v>
      </c>
      <c r="G35" s="26"/>
      <c r="H35" s="121"/>
      <c r="I35" s="103"/>
      <c r="J35" s="112"/>
      <c r="K35" s="113"/>
      <c r="L35" s="111"/>
      <c r="M35" s="103"/>
      <c r="N35" s="103"/>
    </row>
    <row r="36" spans="1:19" x14ac:dyDescent="0.25">
      <c r="A36" s="19"/>
      <c r="B36" s="20"/>
      <c r="C36" s="7"/>
      <c r="D36" s="7"/>
      <c r="E36" s="26"/>
      <c r="F36" s="26"/>
      <c r="G36" s="20"/>
      <c r="H36" s="121"/>
      <c r="I36" s="103"/>
      <c r="J36" s="112"/>
      <c r="K36" s="111"/>
      <c r="L36" s="103"/>
      <c r="M36" s="103"/>
      <c r="N36" s="103"/>
    </row>
    <row r="37" spans="1:19" x14ac:dyDescent="0.25">
      <c r="A37" s="2"/>
      <c r="B37" s="7"/>
      <c r="C37" s="17" t="s">
        <v>39</v>
      </c>
      <c r="D37" s="17"/>
      <c r="E37" s="17"/>
      <c r="F37" s="27">
        <f>IF(E16&lt;23,L8,L7)</f>
        <v>763.47</v>
      </c>
      <c r="G37" s="7"/>
      <c r="H37" s="121"/>
      <c r="I37" s="103"/>
      <c r="J37" s="103"/>
      <c r="K37" s="103"/>
      <c r="L37" s="103"/>
      <c r="M37" s="103"/>
      <c r="N37" s="103"/>
    </row>
    <row r="38" spans="1:19" x14ac:dyDescent="0.25">
      <c r="A38" s="2"/>
      <c r="B38" s="7"/>
      <c r="C38" s="28" t="str">
        <f>IF(F35&gt;F37,"maandlasten liggen boven max. huurbedrag, verhuisplicht opleggen?"," ")</f>
        <v xml:space="preserve"> </v>
      </c>
      <c r="D38" s="28"/>
      <c r="E38" s="28"/>
      <c r="F38" s="27"/>
      <c r="G38" s="7"/>
      <c r="H38" s="121"/>
      <c r="I38" s="103"/>
      <c r="J38" s="103"/>
      <c r="K38" s="103"/>
      <c r="L38" s="103"/>
      <c r="M38" s="103"/>
      <c r="N38" s="103"/>
    </row>
    <row r="39" spans="1:19" x14ac:dyDescent="0.25">
      <c r="A39" s="2"/>
      <c r="B39" s="7"/>
      <c r="C39" s="7"/>
      <c r="D39" s="7"/>
      <c r="E39" s="7"/>
      <c r="F39" s="7"/>
      <c r="G39" s="26"/>
      <c r="H39" s="123"/>
      <c r="I39" s="103"/>
      <c r="J39" s="103"/>
      <c r="K39" s="114"/>
      <c r="L39" s="114"/>
      <c r="M39" s="114"/>
      <c r="N39" s="114"/>
    </row>
    <row r="40" spans="1:19" x14ac:dyDescent="0.25">
      <c r="A40" s="2"/>
      <c r="B40" s="7"/>
      <c r="C40" s="17" t="s">
        <v>40</v>
      </c>
      <c r="D40" s="17"/>
      <c r="E40" s="17"/>
      <c r="F40" s="17"/>
      <c r="G40" s="7"/>
      <c r="H40" s="121"/>
      <c r="I40" s="103"/>
      <c r="J40" s="103"/>
      <c r="K40" s="103"/>
      <c r="L40" s="103"/>
      <c r="M40" s="103"/>
      <c r="N40" s="103"/>
    </row>
    <row r="41" spans="1:19" x14ac:dyDescent="0.25">
      <c r="A41" s="2"/>
      <c r="B41" s="7"/>
      <c r="C41" s="17" t="s">
        <v>41</v>
      </c>
      <c r="D41" s="17"/>
      <c r="E41" s="29">
        <f>IF($F$35&lt;$L$8,$F$35,$L$8)</f>
        <v>442.46</v>
      </c>
      <c r="F41" s="17"/>
      <c r="G41" s="7"/>
      <c r="H41" s="121"/>
      <c r="I41" s="103"/>
      <c r="J41" s="103"/>
      <c r="K41" s="103"/>
      <c r="L41" s="103"/>
      <c r="M41" s="103"/>
      <c r="N41" s="103"/>
    </row>
    <row r="42" spans="1:19" x14ac:dyDescent="0.25">
      <c r="A42" s="2"/>
      <c r="B42" s="7"/>
      <c r="C42" s="17" t="s">
        <v>42</v>
      </c>
      <c r="D42" s="17"/>
      <c r="E42" s="30">
        <f>IF($J$16=1,$L$10,IF($J$20=1,$L$11,$L$12))</f>
        <v>237.62</v>
      </c>
      <c r="F42" s="17"/>
      <c r="G42" s="7"/>
      <c r="H42" s="121"/>
      <c r="I42" s="103"/>
      <c r="J42" s="103"/>
      <c r="K42" s="103"/>
      <c r="L42" s="103"/>
      <c r="M42" s="103"/>
      <c r="N42" s="103"/>
    </row>
    <row r="43" spans="1:19" x14ac:dyDescent="0.25">
      <c r="A43" s="2"/>
      <c r="B43" s="7"/>
      <c r="C43" s="13" t="str">
        <f>IF($E$16&lt;23,"maximale huurtoeslag belangh. jonger dan 23 jaar","deel 100%")</f>
        <v>deel 100%</v>
      </c>
      <c r="D43" s="17"/>
      <c r="E43" s="27"/>
      <c r="F43" s="27">
        <f>IF(E41-E42&lt;0,0,E41-E42)</f>
        <v>204.83999999999997</v>
      </c>
      <c r="G43" s="7"/>
      <c r="H43" s="121"/>
      <c r="I43" s="103"/>
      <c r="J43" s="103"/>
      <c r="K43" s="103"/>
      <c r="L43" s="103"/>
      <c r="M43" s="103"/>
      <c r="N43" s="103"/>
    </row>
    <row r="44" spans="1:19" x14ac:dyDescent="0.25">
      <c r="A44" s="2"/>
      <c r="B44" s="7"/>
      <c r="C44" s="7"/>
      <c r="D44" s="7"/>
      <c r="E44" s="7"/>
      <c r="F44" s="17"/>
      <c r="G44" s="7"/>
      <c r="H44" s="123"/>
      <c r="I44" s="103"/>
      <c r="J44" s="103"/>
      <c r="K44" s="114"/>
      <c r="L44" s="114"/>
      <c r="M44" s="114"/>
      <c r="N44" s="114"/>
    </row>
    <row r="45" spans="1:19" x14ac:dyDescent="0.25">
      <c r="A45" s="2"/>
      <c r="B45" s="7"/>
      <c r="C45" s="17" t="s">
        <v>43</v>
      </c>
      <c r="D45" s="17"/>
      <c r="E45" s="17"/>
      <c r="F45" s="27"/>
      <c r="G45" s="7"/>
      <c r="H45" s="123"/>
      <c r="I45" s="103"/>
      <c r="J45" s="103"/>
      <c r="K45" s="114"/>
      <c r="L45" s="114"/>
      <c r="M45" s="114"/>
      <c r="N45" s="114"/>
    </row>
    <row r="46" spans="1:19" x14ac:dyDescent="0.25">
      <c r="A46" s="2"/>
      <c r="B46" s="7"/>
      <c r="C46" s="17" t="s">
        <v>44</v>
      </c>
      <c r="D46" s="17"/>
      <c r="E46" s="27">
        <f>IF($E$16&lt;23,0,IF($F$35&gt;$L$8,IF($J$20&lt;3,$L$14,$L$15),$F$35))</f>
        <v>633.25</v>
      </c>
      <c r="F46" s="17"/>
      <c r="G46" s="7"/>
      <c r="H46" s="123"/>
      <c r="I46" s="103"/>
      <c r="J46" s="103"/>
      <c r="K46" s="114"/>
      <c r="L46" s="114"/>
      <c r="M46" s="114"/>
      <c r="N46" s="114"/>
    </row>
    <row r="47" spans="1:19" x14ac:dyDescent="0.25">
      <c r="A47" s="2"/>
      <c r="B47" s="7"/>
      <c r="C47" s="17" t="s">
        <v>58</v>
      </c>
      <c r="D47" s="17"/>
      <c r="E47" s="81">
        <f>IF(F35&lt;E46,F35,E46)</f>
        <v>633.25</v>
      </c>
      <c r="F47" s="17"/>
      <c r="G47" s="7"/>
      <c r="H47" s="123"/>
      <c r="I47" s="103"/>
      <c r="J47" s="103"/>
      <c r="K47" s="114"/>
      <c r="L47" s="114"/>
      <c r="M47" s="114"/>
      <c r="N47" s="114"/>
    </row>
    <row r="48" spans="1:19" x14ac:dyDescent="0.25">
      <c r="A48" s="2"/>
      <c r="B48" s="7"/>
      <c r="C48" s="17" t="s">
        <v>41</v>
      </c>
      <c r="D48" s="17"/>
      <c r="E48" s="30">
        <f>IF($E$16&lt;23,0,$L$8)</f>
        <v>442.46</v>
      </c>
      <c r="F48" s="17"/>
      <c r="G48" s="7"/>
      <c r="H48" s="123"/>
      <c r="I48" s="103"/>
      <c r="J48" s="103"/>
      <c r="K48" s="114"/>
      <c r="L48" s="114"/>
      <c r="M48" s="114"/>
      <c r="N48" s="114"/>
    </row>
    <row r="49" spans="1:14" x14ac:dyDescent="0.25">
      <c r="A49" s="2"/>
      <c r="B49" s="7"/>
      <c r="C49" s="17" t="s">
        <v>45</v>
      </c>
      <c r="D49" s="17"/>
      <c r="E49" s="27">
        <f>IF(E47-E48&gt;0,E47-E48,0)</f>
        <v>190.79000000000002</v>
      </c>
      <c r="F49" s="30">
        <f>IF($E$16&gt;22,$E$49*65%,0)</f>
        <v>124.01350000000002</v>
      </c>
      <c r="G49" s="7"/>
      <c r="H49" s="123"/>
      <c r="I49" s="103"/>
      <c r="J49" s="103"/>
      <c r="K49" s="114"/>
      <c r="L49" s="114"/>
      <c r="M49" s="114"/>
      <c r="N49" s="114"/>
    </row>
    <row r="50" spans="1:14" x14ac:dyDescent="0.25">
      <c r="A50" s="2"/>
      <c r="B50" s="7"/>
      <c r="C50" s="7"/>
      <c r="D50" s="7"/>
      <c r="E50" s="7"/>
      <c r="F50" s="27"/>
      <c r="G50" s="7"/>
      <c r="H50" s="123"/>
      <c r="I50" s="103"/>
      <c r="J50" s="103"/>
      <c r="K50" s="103"/>
      <c r="L50" s="103"/>
      <c r="M50" s="103"/>
      <c r="N50" s="103"/>
    </row>
    <row r="51" spans="1:14" x14ac:dyDescent="0.25">
      <c r="A51" s="2"/>
      <c r="B51" s="7"/>
      <c r="C51" s="31" t="s">
        <v>46</v>
      </c>
      <c r="D51" s="31"/>
      <c r="E51" s="31"/>
      <c r="F51" s="31"/>
      <c r="G51" s="7"/>
      <c r="H51" s="121"/>
      <c r="I51" s="103"/>
      <c r="J51" s="103"/>
      <c r="K51" s="114"/>
      <c r="L51" s="114"/>
      <c r="M51" s="114"/>
      <c r="N51" s="114"/>
    </row>
    <row r="52" spans="1:14" x14ac:dyDescent="0.25">
      <c r="A52" s="2"/>
      <c r="B52" s="7"/>
      <c r="C52" s="31" t="s">
        <v>47</v>
      </c>
      <c r="D52" s="31"/>
      <c r="E52" s="31"/>
      <c r="F52" s="31"/>
      <c r="G52" s="7"/>
      <c r="H52" s="121"/>
      <c r="I52" s="103"/>
      <c r="J52" s="114"/>
      <c r="K52" s="114"/>
      <c r="L52" s="114"/>
      <c r="M52" s="114"/>
      <c r="N52" s="114"/>
    </row>
    <row r="53" spans="1:14" x14ac:dyDescent="0.25">
      <c r="A53" s="2"/>
      <c r="B53" s="7"/>
      <c r="C53" s="31" t="s">
        <v>48</v>
      </c>
      <c r="D53" s="31"/>
      <c r="E53" s="32">
        <f>IF($J$16=2,IF($F$35&lt;$F$37,F$35,$F$37),IF(J20=1,IF($F$35&lt;$F$37,F$35,$F$37),0))</f>
        <v>0</v>
      </c>
      <c r="F53" s="32"/>
      <c r="G53" s="7"/>
      <c r="H53" s="121"/>
      <c r="I53" s="103"/>
      <c r="J53" s="114"/>
      <c r="K53" s="103"/>
      <c r="L53" s="103"/>
      <c r="M53" s="103"/>
      <c r="N53" s="103"/>
    </row>
    <row r="54" spans="1:14" x14ac:dyDescent="0.25">
      <c r="A54" s="2"/>
      <c r="B54" s="7"/>
      <c r="C54" s="31" t="s">
        <v>44</v>
      </c>
      <c r="D54" s="31"/>
      <c r="E54" s="32">
        <f>IF(E53=0,0,IF(J20=3,L15,L14))</f>
        <v>0</v>
      </c>
      <c r="F54" s="32"/>
      <c r="G54" s="7"/>
      <c r="H54" s="121"/>
      <c r="I54" s="103"/>
      <c r="J54" s="114"/>
      <c r="K54" s="103"/>
      <c r="L54" s="103"/>
      <c r="M54" s="103"/>
      <c r="N54" s="103"/>
    </row>
    <row r="55" spans="1:14" x14ac:dyDescent="0.25">
      <c r="A55" s="2"/>
      <c r="B55" s="7"/>
      <c r="C55" s="31" t="s">
        <v>49</v>
      </c>
      <c r="D55" s="31"/>
      <c r="E55" s="32">
        <f>E53-E54</f>
        <v>0</v>
      </c>
      <c r="F55" s="33">
        <f>IF($J$16=2,$E$55*0.4,0)</f>
        <v>0</v>
      </c>
      <c r="G55" s="7"/>
      <c r="H55" s="121"/>
      <c r="I55" s="103"/>
      <c r="J55" s="103"/>
      <c r="K55" s="103"/>
      <c r="L55" s="103"/>
      <c r="M55" s="103"/>
      <c r="N55" s="103"/>
    </row>
    <row r="56" spans="1:14" x14ac:dyDescent="0.25">
      <c r="A56" s="2"/>
      <c r="B56" s="7"/>
      <c r="C56" s="34"/>
      <c r="D56" s="34"/>
      <c r="E56" s="34"/>
      <c r="F56" s="32"/>
      <c r="G56" s="7"/>
      <c r="H56" s="121"/>
      <c r="I56" s="103"/>
      <c r="J56" s="103"/>
      <c r="K56" s="103"/>
      <c r="L56" s="103"/>
      <c r="M56" s="103"/>
      <c r="N56" s="103"/>
    </row>
    <row r="57" spans="1:14" ht="15.75" x14ac:dyDescent="0.25">
      <c r="A57" s="2"/>
      <c r="B57" s="7"/>
      <c r="C57" s="35" t="s">
        <v>50</v>
      </c>
      <c r="D57" s="35"/>
      <c r="E57" s="36"/>
      <c r="F57" s="35">
        <f>SUM(F43:F56)</f>
        <v>328.8535</v>
      </c>
      <c r="G57" s="7"/>
      <c r="H57" s="121"/>
      <c r="I57" s="103"/>
      <c r="J57" s="103"/>
      <c r="K57" s="103"/>
      <c r="L57" s="103"/>
      <c r="M57" s="103"/>
      <c r="N57" s="103"/>
    </row>
    <row r="58" spans="1:14" x14ac:dyDescent="0.25">
      <c r="A58" s="2"/>
      <c r="B58" s="37"/>
      <c r="C58" s="7"/>
      <c r="D58" s="7"/>
      <c r="E58" s="7"/>
      <c r="F58" s="7"/>
      <c r="G58" s="7"/>
      <c r="H58" s="121"/>
      <c r="I58" s="103"/>
      <c r="J58" s="103"/>
      <c r="K58" s="114"/>
      <c r="L58" s="114"/>
      <c r="M58" s="114"/>
      <c r="N58" s="114"/>
    </row>
    <row r="59" spans="1:14" x14ac:dyDescent="0.25">
      <c r="A59" s="2"/>
      <c r="B59" s="37"/>
      <c r="C59" s="17"/>
      <c r="D59" s="17"/>
      <c r="E59" s="17"/>
      <c r="F59" s="17"/>
      <c r="G59" s="7"/>
      <c r="H59" s="121"/>
      <c r="I59" s="103"/>
      <c r="J59" s="103"/>
      <c r="K59" s="114"/>
      <c r="L59" s="114"/>
      <c r="M59" s="114"/>
      <c r="N59" s="114"/>
    </row>
    <row r="60" spans="1:14" x14ac:dyDescent="0.25">
      <c r="A60" s="2"/>
      <c r="B60" s="38"/>
      <c r="C60" s="39" t="s">
        <v>51</v>
      </c>
      <c r="D60" s="40"/>
      <c r="E60" s="40"/>
      <c r="F60" s="40"/>
      <c r="G60" s="7"/>
      <c r="H60" s="121"/>
      <c r="I60" s="103"/>
      <c r="J60" s="103"/>
      <c r="K60" s="114"/>
      <c r="L60" s="114"/>
      <c r="M60" s="114"/>
      <c r="N60" s="114"/>
    </row>
    <row r="61" spans="1:14" x14ac:dyDescent="0.25">
      <c r="A61" s="3"/>
      <c r="B61" s="37"/>
      <c r="C61" s="7"/>
      <c r="D61" s="7"/>
      <c r="E61" s="7"/>
      <c r="F61" s="7"/>
      <c r="G61" s="7"/>
      <c r="H61" s="121"/>
      <c r="I61" s="103"/>
      <c r="J61" s="103"/>
      <c r="K61" s="103"/>
      <c r="L61" s="103"/>
      <c r="M61" s="103"/>
      <c r="N61" s="103"/>
    </row>
    <row r="62" spans="1:14" x14ac:dyDescent="0.25">
      <c r="A62" s="3"/>
      <c r="B62" s="7"/>
      <c r="C62" s="17" t="s">
        <v>38</v>
      </c>
      <c r="D62" s="17"/>
      <c r="E62" s="27">
        <f>IF(F35&gt;F37,F35,0)</f>
        <v>0</v>
      </c>
      <c r="F62" s="27"/>
      <c r="G62" s="7"/>
      <c r="H62" s="121"/>
      <c r="I62" s="103"/>
      <c r="J62" s="103"/>
      <c r="K62" s="103"/>
      <c r="L62" s="103"/>
      <c r="M62" s="103"/>
      <c r="N62" s="103"/>
    </row>
    <row r="63" spans="1:14" x14ac:dyDescent="0.25">
      <c r="A63" s="3"/>
      <c r="B63" s="7"/>
      <c r="C63" s="17" t="s">
        <v>39</v>
      </c>
      <c r="D63" s="17"/>
      <c r="E63" s="30">
        <f>L7</f>
        <v>763.47</v>
      </c>
      <c r="F63" s="27"/>
      <c r="G63" s="7"/>
      <c r="H63" s="121"/>
      <c r="I63" s="103"/>
      <c r="J63" s="103"/>
      <c r="K63" s="103"/>
      <c r="L63" s="103"/>
      <c r="M63" s="103"/>
      <c r="N63" s="103"/>
    </row>
    <row r="64" spans="1:14" x14ac:dyDescent="0.25">
      <c r="A64" s="3"/>
      <c r="B64" s="7"/>
      <c r="C64" s="28" t="s">
        <v>52</v>
      </c>
      <c r="D64" s="17"/>
      <c r="E64" s="41"/>
      <c r="F64" s="42">
        <f>IF(E62-E63&lt;0,0,E62-E63)</f>
        <v>0</v>
      </c>
      <c r="G64" s="7"/>
      <c r="H64" s="124"/>
      <c r="I64" s="103"/>
      <c r="J64" s="103"/>
      <c r="K64" s="103"/>
      <c r="L64" s="103"/>
      <c r="M64" s="103"/>
      <c r="N64" s="103"/>
    </row>
    <row r="65" spans="1:14" x14ac:dyDescent="0.25">
      <c r="A65" s="3"/>
      <c r="B65" s="7"/>
      <c r="C65" s="28" t="str">
        <f>IF(F64&gt;0,"Denk om verhuisplicht!"," ")</f>
        <v xml:space="preserve"> </v>
      </c>
      <c r="D65" s="17"/>
      <c r="E65" s="27"/>
      <c r="F65" s="27"/>
      <c r="G65" s="7"/>
      <c r="H65" s="121"/>
      <c r="I65" s="103"/>
      <c r="J65" s="103"/>
      <c r="K65" s="103"/>
      <c r="L65" s="103"/>
      <c r="M65" s="103"/>
      <c r="N65" s="103"/>
    </row>
    <row r="66" spans="1:14" x14ac:dyDescent="0.25">
      <c r="A66" s="3"/>
      <c r="B66" s="7"/>
      <c r="C66" s="7"/>
      <c r="D66" s="7"/>
      <c r="E66" s="7"/>
      <c r="F66" s="7"/>
      <c r="G66" s="7"/>
      <c r="H66" s="121"/>
      <c r="I66" s="103"/>
      <c r="J66" s="103"/>
      <c r="K66" s="103"/>
      <c r="L66" s="103"/>
      <c r="M66" s="103"/>
      <c r="N66" s="103"/>
    </row>
    <row r="67" spans="1:14" x14ac:dyDescent="0.25">
      <c r="A67" s="3"/>
      <c r="B67" s="37"/>
      <c r="C67" s="7"/>
      <c r="D67" s="7"/>
      <c r="E67" s="7"/>
      <c r="F67" s="7"/>
      <c r="G67" s="7"/>
      <c r="H67" s="121"/>
      <c r="I67" s="103"/>
      <c r="J67" s="103"/>
      <c r="K67" s="103"/>
      <c r="L67" s="103"/>
      <c r="M67" s="103"/>
      <c r="N67" s="103"/>
    </row>
    <row r="68" spans="1:14" x14ac:dyDescent="0.25">
      <c r="A68" s="2"/>
      <c r="B68" s="37"/>
      <c r="C68" s="17"/>
      <c r="D68" s="17"/>
      <c r="E68" s="17"/>
      <c r="F68" s="17"/>
      <c r="G68" s="7"/>
      <c r="H68" s="121"/>
      <c r="I68" s="103"/>
      <c r="J68" s="103"/>
    </row>
    <row r="69" spans="1:14" ht="18.75" x14ac:dyDescent="0.3">
      <c r="A69" s="2"/>
      <c r="B69" s="44"/>
      <c r="C69" s="45" t="s">
        <v>53</v>
      </c>
      <c r="D69" s="17"/>
      <c r="E69" s="17"/>
      <c r="F69" s="46">
        <f>F57+F64</f>
        <v>328.8535</v>
      </c>
      <c r="G69" s="7"/>
      <c r="H69" s="121"/>
      <c r="I69" s="103"/>
      <c r="J69" s="103"/>
      <c r="K69" s="103"/>
      <c r="L69" s="103"/>
      <c r="M69" s="103"/>
      <c r="N69" s="103"/>
    </row>
    <row r="70" spans="1:14" x14ac:dyDescent="0.25">
      <c r="A70" s="3"/>
      <c r="B70" s="37"/>
      <c r="C70" s="37"/>
      <c r="D70" s="37"/>
      <c r="E70" s="37"/>
      <c r="F70" s="37"/>
      <c r="G70" s="7"/>
      <c r="H70" s="121"/>
      <c r="I70" s="103"/>
      <c r="J70" s="103"/>
      <c r="K70" s="103"/>
      <c r="L70" s="103"/>
      <c r="M70" s="103"/>
      <c r="N70" s="103"/>
    </row>
    <row r="71" spans="1:14" x14ac:dyDescent="0.25">
      <c r="A71" s="49"/>
      <c r="B71" s="49"/>
      <c r="C71" s="43"/>
      <c r="D71" s="43"/>
      <c r="E71" s="43"/>
      <c r="F71" s="43"/>
      <c r="G71" s="49"/>
      <c r="I71" s="103"/>
      <c r="J71" s="103"/>
      <c r="K71" s="103"/>
      <c r="L71" s="103"/>
      <c r="M71" s="103"/>
      <c r="N71" s="103"/>
    </row>
    <row r="72" spans="1:14" x14ac:dyDescent="0.25">
      <c r="A72" s="49"/>
      <c r="B72" s="50" t="s">
        <v>54</v>
      </c>
      <c r="C72" s="43"/>
      <c r="D72" s="43"/>
      <c r="E72" s="43"/>
      <c r="F72" s="43"/>
      <c r="G72" s="49"/>
      <c r="I72" s="103"/>
      <c r="J72" s="103"/>
      <c r="K72" s="103"/>
      <c r="L72" s="103"/>
      <c r="M72" s="103"/>
      <c r="N72" s="103"/>
    </row>
    <row r="73" spans="1:14" x14ac:dyDescent="0.25">
      <c r="I73" s="103"/>
      <c r="J73" s="103"/>
      <c r="K73" s="103"/>
      <c r="L73" s="103"/>
      <c r="M73" s="103"/>
      <c r="N73" s="103"/>
    </row>
    <row r="74" spans="1:14" x14ac:dyDescent="0.25">
      <c r="I74" s="103"/>
      <c r="J74" s="103"/>
      <c r="K74" s="103"/>
      <c r="L74" s="103"/>
      <c r="M74" s="103"/>
      <c r="N74" s="103"/>
    </row>
    <row r="75" spans="1:14" x14ac:dyDescent="0.25">
      <c r="I75" s="103"/>
      <c r="J75" s="103"/>
      <c r="K75" s="103"/>
      <c r="L75" s="103"/>
      <c r="M75" s="103"/>
      <c r="N75" s="103"/>
    </row>
  </sheetData>
  <sheetProtection algorithmName="SHA-512" hashValue="1G4WYJPTmWeqqhqN4KT0c6q/OerJDs7tXFxC6pGp7A0rOdNDNUR/5LSNCEOPvucizrQ7SuMthOTSBvvE6ylmMQ==" saltValue="0VSm0D1BXzEcthPvkA5uxw==" spinCount="100000" sheet="1"/>
  <mergeCells count="3">
    <mergeCell ref="D12:E12"/>
    <mergeCell ref="D13:E13"/>
    <mergeCell ref="D14:E1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Drop Down 3">
              <controlPr defaultSize="0" autoLine="0" autoPict="0">
                <anchor moveWithCells="1">
                  <from>
                    <xdr:col>3</xdr:col>
                    <xdr:colOff>904875</xdr:colOff>
                    <xdr:row>17</xdr:row>
                    <xdr:rowOff>19050</xdr:rowOff>
                  </from>
                  <to>
                    <xdr:col>5</xdr:col>
                    <xdr:colOff>19050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Drop Down 4">
              <controlPr defaultSize="0" autoLine="0" autoPict="0">
                <anchor moveWithCells="1">
                  <from>
                    <xdr:col>3</xdr:col>
                    <xdr:colOff>904875</xdr:colOff>
                    <xdr:row>19</xdr:row>
                    <xdr:rowOff>9525</xdr:rowOff>
                  </from>
                  <to>
                    <xdr:col>5</xdr:col>
                    <xdr:colOff>19050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Drop Down 5">
              <controlPr defaultSize="0" autoLine="0" autoPict="0">
                <anchor moveWithCells="1">
                  <from>
                    <xdr:col>4</xdr:col>
                    <xdr:colOff>504825</xdr:colOff>
                    <xdr:row>8</xdr:row>
                    <xdr:rowOff>47625</xdr:rowOff>
                  </from>
                  <to>
                    <xdr:col>4</xdr:col>
                    <xdr:colOff>1009650</xdr:colOff>
                    <xdr:row>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Y75"/>
  <sheetViews>
    <sheetView topLeftCell="A28" workbookViewId="0">
      <selection activeCell="AC21" sqref="AC21"/>
    </sheetView>
  </sheetViews>
  <sheetFormatPr defaultRowHeight="15" x14ac:dyDescent="0.25"/>
  <cols>
    <col min="1" max="2" width="5.140625" style="53" customWidth="1"/>
    <col min="3" max="3" width="34.28515625" style="53" customWidth="1"/>
    <col min="4" max="4" width="13.7109375" style="53" customWidth="1"/>
    <col min="5" max="6" width="16.42578125" style="53" customWidth="1"/>
    <col min="7" max="7" width="4.7109375" style="53" customWidth="1"/>
    <col min="8" max="8" width="2.5703125" style="102" hidden="1" customWidth="1"/>
    <col min="9" max="9" width="16.85546875" style="102" hidden="1" customWidth="1"/>
    <col min="10" max="10" width="11.7109375" style="102" hidden="1" customWidth="1"/>
    <col min="11" max="14" width="17.42578125" style="102" hidden="1" customWidth="1"/>
    <col min="15" max="21" width="9.140625" style="102" hidden="1" customWidth="1"/>
    <col min="22" max="25" width="0" style="102" hidden="1" customWidth="1"/>
    <col min="26" max="16384" width="9.140625" style="53"/>
  </cols>
  <sheetData>
    <row r="1" spans="1:14" x14ac:dyDescent="0.25">
      <c r="A1" s="51"/>
      <c r="B1" s="52"/>
      <c r="C1" s="52"/>
      <c r="D1" s="52"/>
      <c r="E1" s="52"/>
      <c r="F1" s="52"/>
      <c r="G1" s="52"/>
      <c r="H1" s="101"/>
      <c r="I1" s="101"/>
      <c r="J1" s="101"/>
      <c r="K1" s="101"/>
      <c r="L1" s="101"/>
      <c r="M1" s="101"/>
      <c r="N1" s="101"/>
    </row>
    <row r="2" spans="1:14" x14ac:dyDescent="0.25">
      <c r="A2" s="51"/>
      <c r="B2" s="52"/>
      <c r="C2" s="52"/>
      <c r="D2" s="52"/>
      <c r="E2" s="52"/>
      <c r="F2" s="52"/>
      <c r="G2" s="52"/>
      <c r="H2" s="101"/>
      <c r="I2" s="101"/>
      <c r="J2" s="101"/>
      <c r="K2" s="101"/>
      <c r="L2" s="101"/>
      <c r="M2" s="101"/>
      <c r="N2" s="101"/>
    </row>
    <row r="3" spans="1:14" x14ac:dyDescent="0.25">
      <c r="A3" s="51"/>
      <c r="B3" s="52"/>
      <c r="C3" s="52"/>
      <c r="D3" s="52"/>
      <c r="E3" s="52"/>
      <c r="F3" s="52"/>
      <c r="G3" s="52"/>
      <c r="H3" s="101"/>
      <c r="I3" s="101"/>
      <c r="J3" s="101"/>
      <c r="K3" s="101"/>
      <c r="L3" s="101"/>
      <c r="M3" s="101"/>
      <c r="N3" s="101"/>
    </row>
    <row r="4" spans="1:14" x14ac:dyDescent="0.25">
      <c r="A4" s="51"/>
      <c r="B4" s="52"/>
      <c r="C4" s="52"/>
      <c r="D4" s="52"/>
      <c r="E4" s="52"/>
      <c r="F4" s="52"/>
      <c r="G4" s="52"/>
      <c r="H4" s="101"/>
      <c r="I4" s="101"/>
      <c r="J4" s="101"/>
      <c r="K4" s="101" t="s">
        <v>0</v>
      </c>
      <c r="L4" s="101"/>
      <c r="M4" s="101" t="s">
        <v>1</v>
      </c>
      <c r="N4" s="101"/>
    </row>
    <row r="5" spans="1:14" x14ac:dyDescent="0.25">
      <c r="A5" s="51"/>
      <c r="B5" s="52"/>
      <c r="C5" s="52"/>
      <c r="D5" s="52"/>
      <c r="E5" s="52"/>
      <c r="F5" s="52"/>
      <c r="G5" s="52"/>
      <c r="H5" s="101"/>
      <c r="I5" s="101"/>
      <c r="J5" s="101"/>
      <c r="K5" s="101"/>
      <c r="L5" s="101"/>
      <c r="M5" s="101"/>
      <c r="N5" s="101"/>
    </row>
    <row r="6" spans="1:14" x14ac:dyDescent="0.25">
      <c r="A6" s="51"/>
      <c r="B6" s="52"/>
      <c r="C6" s="52"/>
      <c r="D6" s="52"/>
      <c r="E6" s="52"/>
      <c r="F6" s="52"/>
      <c r="G6" s="52"/>
      <c r="H6" s="101"/>
      <c r="I6" s="101"/>
      <c r="J6" s="101"/>
      <c r="K6" s="101"/>
      <c r="L6" s="101"/>
      <c r="M6" s="101"/>
      <c r="N6" s="101"/>
    </row>
    <row r="7" spans="1:14" x14ac:dyDescent="0.25">
      <c r="A7" s="51"/>
      <c r="B7" s="52"/>
      <c r="C7" s="52"/>
      <c r="D7" s="52"/>
      <c r="E7" s="52"/>
      <c r="F7" s="52"/>
      <c r="G7" s="52"/>
      <c r="H7" s="101"/>
      <c r="I7" s="101"/>
      <c r="J7" s="101"/>
      <c r="K7" s="101" t="s">
        <v>2</v>
      </c>
      <c r="L7" s="101">
        <f>VLOOKUP($I$9,$K$31:$S$35,3,FALSE)</f>
        <v>763.47</v>
      </c>
      <c r="M7" s="101" t="s">
        <v>3</v>
      </c>
      <c r="N7" s="101"/>
    </row>
    <row r="8" spans="1:14" x14ac:dyDescent="0.25">
      <c r="A8" s="54"/>
      <c r="B8" s="55"/>
      <c r="C8" s="55"/>
      <c r="D8" s="55"/>
      <c r="E8" s="55"/>
      <c r="F8" s="55"/>
      <c r="G8" s="55"/>
      <c r="H8" s="103"/>
      <c r="I8" s="103"/>
      <c r="J8" s="103"/>
      <c r="K8" s="101" t="s">
        <v>4</v>
      </c>
      <c r="L8" s="101">
        <f>VLOOKUP($I$9,$K$31:$S$35,4,FALSE)</f>
        <v>442.46</v>
      </c>
      <c r="M8" s="103"/>
      <c r="N8" s="103"/>
    </row>
    <row r="9" spans="1:14" ht="15.75" x14ac:dyDescent="0.25">
      <c r="A9" s="54"/>
      <c r="B9" s="57" t="s">
        <v>66</v>
      </c>
      <c r="C9" s="57"/>
      <c r="D9" s="57"/>
      <c r="E9" s="57"/>
      <c r="F9" s="57"/>
      <c r="G9" s="57"/>
      <c r="H9" s="118"/>
      <c r="I9" s="103">
        <v>1</v>
      </c>
      <c r="J9" s="103">
        <v>2</v>
      </c>
      <c r="K9" s="103"/>
      <c r="L9" s="101"/>
      <c r="M9" s="103"/>
      <c r="N9" s="103"/>
    </row>
    <row r="10" spans="1:14" x14ac:dyDescent="0.25">
      <c r="A10" s="54"/>
      <c r="B10" s="58"/>
      <c r="C10" s="58"/>
      <c r="D10" s="58"/>
      <c r="E10" s="58"/>
      <c r="F10" s="58"/>
      <c r="G10" s="58"/>
      <c r="H10" s="118"/>
      <c r="I10" s="103"/>
      <c r="J10" s="103"/>
      <c r="K10" s="103" t="s">
        <v>5</v>
      </c>
      <c r="L10" s="101">
        <f>VLOOKUP($I$9,$K$31:$S$35,5,FALSE)</f>
        <v>237.62</v>
      </c>
      <c r="M10" s="103" t="s">
        <v>6</v>
      </c>
      <c r="N10" s="103" t="s">
        <v>7</v>
      </c>
    </row>
    <row r="11" spans="1:14" x14ac:dyDescent="0.25">
      <c r="A11" s="54"/>
      <c r="B11" s="59"/>
      <c r="C11" s="59"/>
      <c r="D11" s="59"/>
      <c r="E11" s="59"/>
      <c r="F11" s="59"/>
      <c r="G11" s="59"/>
      <c r="H11" s="118"/>
      <c r="I11" s="103"/>
      <c r="J11" s="103"/>
      <c r="K11" s="103" t="s">
        <v>8</v>
      </c>
      <c r="L11" s="101">
        <f>VLOOKUP($I$9,$K$31:$S$35,6,FALSE)</f>
        <v>235.8</v>
      </c>
      <c r="M11" s="103"/>
      <c r="N11" s="103"/>
    </row>
    <row r="12" spans="1:14" ht="15.75" x14ac:dyDescent="0.25">
      <c r="A12" s="54"/>
      <c r="B12" s="59"/>
      <c r="C12" s="60" t="s">
        <v>9</v>
      </c>
      <c r="D12" s="115" t="s">
        <v>71</v>
      </c>
      <c r="E12" s="115"/>
      <c r="F12" s="61"/>
      <c r="G12" s="59"/>
      <c r="H12" s="103"/>
      <c r="I12" s="103"/>
      <c r="J12" s="103"/>
      <c r="K12" s="103" t="s">
        <v>10</v>
      </c>
      <c r="L12" s="101">
        <f>VLOOKUP($I$9,$K$31:$S$35,7,FALSE)</f>
        <v>233.99</v>
      </c>
      <c r="M12" s="103"/>
      <c r="N12" s="103"/>
    </row>
    <row r="13" spans="1:14" ht="15.75" x14ac:dyDescent="0.25">
      <c r="A13" s="54"/>
      <c r="B13" s="59"/>
      <c r="C13" s="60" t="s">
        <v>11</v>
      </c>
      <c r="D13" s="115">
        <v>123456789</v>
      </c>
      <c r="E13" s="115"/>
      <c r="F13" s="61"/>
      <c r="G13" s="59"/>
      <c r="H13" s="103"/>
      <c r="I13" s="103"/>
      <c r="J13" s="103"/>
      <c r="K13" s="103"/>
      <c r="L13" s="101"/>
      <c r="M13" s="103"/>
      <c r="N13" s="103"/>
    </row>
    <row r="14" spans="1:14" ht="15.75" x14ac:dyDescent="0.25">
      <c r="A14" s="54"/>
      <c r="B14" s="59"/>
      <c r="C14" s="60" t="s">
        <v>12</v>
      </c>
      <c r="D14" s="116">
        <v>23905</v>
      </c>
      <c r="E14" s="116"/>
      <c r="F14" s="62"/>
      <c r="G14" s="59"/>
      <c r="H14" s="103"/>
      <c r="I14" s="103"/>
      <c r="J14" s="103"/>
      <c r="K14" s="103" t="s">
        <v>13</v>
      </c>
      <c r="L14" s="101">
        <f>VLOOKUP($I$9,$K$31:$S$35,8,FALSE)</f>
        <v>633.25</v>
      </c>
      <c r="M14" s="103"/>
      <c r="N14" s="103"/>
    </row>
    <row r="15" spans="1:14" x14ac:dyDescent="0.25">
      <c r="A15" s="54"/>
      <c r="B15" s="59"/>
      <c r="C15" s="63" t="s">
        <v>14</v>
      </c>
      <c r="D15" s="63"/>
      <c r="E15" s="96">
        <f>VLOOKUP(I9,K31:L35,2,FALSE)</f>
        <v>44562</v>
      </c>
      <c r="F15" s="64"/>
      <c r="G15" s="59"/>
      <c r="H15" s="103"/>
      <c r="I15" s="103"/>
      <c r="J15" s="103"/>
      <c r="K15" s="103" t="s">
        <v>15</v>
      </c>
      <c r="L15" s="101">
        <f>VLOOKUP($I$9,$K$31:$S$35,9,FALSE)</f>
        <v>678.66</v>
      </c>
      <c r="M15" s="103"/>
      <c r="N15" s="103"/>
    </row>
    <row r="16" spans="1:14" x14ac:dyDescent="0.25">
      <c r="A16" s="54"/>
      <c r="B16" s="59"/>
      <c r="C16" s="65" t="s">
        <v>65</v>
      </c>
      <c r="D16" s="65"/>
      <c r="E16" s="66">
        <f>((E15-D14)/365.25)</f>
        <v>56.555783709787818</v>
      </c>
      <c r="F16" s="67"/>
      <c r="G16" s="59"/>
      <c r="H16" s="103"/>
      <c r="I16" s="103" t="s">
        <v>16</v>
      </c>
      <c r="J16" s="104">
        <v>1</v>
      </c>
      <c r="K16" s="103"/>
      <c r="L16" s="103"/>
      <c r="M16" s="103"/>
      <c r="N16" s="103"/>
    </row>
    <row r="17" spans="1:19" x14ac:dyDescent="0.25">
      <c r="A17" s="54"/>
      <c r="B17" s="59"/>
      <c r="C17" s="65" t="s">
        <v>17</v>
      </c>
      <c r="D17" s="65"/>
      <c r="E17" s="67"/>
      <c r="F17" s="67"/>
      <c r="G17" s="59"/>
      <c r="H17" s="103"/>
      <c r="I17" s="103" t="s">
        <v>18</v>
      </c>
      <c r="J17" s="103"/>
      <c r="K17" s="103"/>
      <c r="L17" s="103"/>
      <c r="M17" s="103"/>
      <c r="N17" s="103"/>
    </row>
    <row r="18" spans="1:19" x14ac:dyDescent="0.25">
      <c r="A18" s="54"/>
      <c r="B18" s="59"/>
      <c r="C18" s="68" t="s">
        <v>19</v>
      </c>
      <c r="D18" s="65"/>
      <c r="E18" s="67"/>
      <c r="F18" s="67"/>
      <c r="G18" s="59"/>
      <c r="H18" s="103"/>
      <c r="I18" s="103" t="s">
        <v>20</v>
      </c>
      <c r="J18" s="103"/>
      <c r="K18" s="103"/>
      <c r="L18" s="103"/>
      <c r="M18" s="103"/>
      <c r="N18" s="103"/>
    </row>
    <row r="19" spans="1:19" x14ac:dyDescent="0.25">
      <c r="A19" s="54"/>
      <c r="B19" s="59"/>
      <c r="C19" s="69"/>
      <c r="D19" s="69"/>
      <c r="E19" s="69"/>
      <c r="F19" s="69"/>
      <c r="G19" s="59"/>
      <c r="H19" s="103"/>
      <c r="I19" s="103"/>
      <c r="J19" s="103"/>
      <c r="K19" s="103"/>
      <c r="L19" s="103"/>
      <c r="M19" s="103"/>
      <c r="N19" s="103"/>
    </row>
    <row r="20" spans="1:19" x14ac:dyDescent="0.25">
      <c r="A20" s="54"/>
      <c r="B20" s="59"/>
      <c r="C20" s="65" t="s">
        <v>21</v>
      </c>
      <c r="D20" s="70"/>
      <c r="E20" s="56"/>
      <c r="F20" s="70"/>
      <c r="G20" s="59"/>
      <c r="H20" s="103"/>
      <c r="I20" s="103" t="s">
        <v>22</v>
      </c>
      <c r="J20" s="104">
        <v>2</v>
      </c>
      <c r="K20" s="105"/>
      <c r="L20" s="105"/>
      <c r="M20" s="105"/>
      <c r="N20" s="105"/>
    </row>
    <row r="21" spans="1:19" x14ac:dyDescent="0.25">
      <c r="A21" s="54"/>
      <c r="B21" s="59"/>
      <c r="C21" s="59"/>
      <c r="D21" s="59"/>
      <c r="E21" s="59"/>
      <c r="F21" s="59"/>
      <c r="G21" s="59"/>
      <c r="H21" s="103"/>
      <c r="I21" s="103" t="s">
        <v>23</v>
      </c>
      <c r="J21" s="103"/>
      <c r="K21" s="103"/>
      <c r="L21" s="103"/>
      <c r="M21" s="103"/>
      <c r="N21" s="103"/>
    </row>
    <row r="22" spans="1:19" x14ac:dyDescent="0.25">
      <c r="A22" s="71"/>
      <c r="B22" s="72"/>
      <c r="C22" s="73" t="s">
        <v>24</v>
      </c>
      <c r="D22" s="73"/>
      <c r="E22" s="73"/>
      <c r="F22" s="74"/>
      <c r="G22" s="72"/>
      <c r="H22" s="103"/>
      <c r="I22" s="103" t="s">
        <v>25</v>
      </c>
      <c r="J22" s="103"/>
      <c r="K22" s="103"/>
      <c r="L22" s="103"/>
      <c r="M22" s="103"/>
      <c r="N22" s="103"/>
    </row>
    <row r="23" spans="1:19" x14ac:dyDescent="0.25">
      <c r="A23" s="71"/>
      <c r="B23" s="72"/>
      <c r="C23" s="74" t="s">
        <v>26</v>
      </c>
      <c r="D23" s="74"/>
      <c r="E23" s="91"/>
      <c r="F23" s="74"/>
      <c r="G23" s="72"/>
      <c r="H23" s="103"/>
      <c r="I23" s="103" t="s">
        <v>27</v>
      </c>
      <c r="J23" s="103"/>
      <c r="K23" s="103"/>
      <c r="L23" s="103"/>
      <c r="M23" s="103"/>
      <c r="N23" s="103"/>
    </row>
    <row r="24" spans="1:19" x14ac:dyDescent="0.25">
      <c r="A24" s="71"/>
      <c r="B24" s="72"/>
      <c r="C24" s="74" t="s">
        <v>28</v>
      </c>
      <c r="D24" s="74"/>
      <c r="E24" s="91"/>
      <c r="F24" s="74"/>
      <c r="G24" s="72"/>
      <c r="H24" s="103"/>
      <c r="I24" s="103"/>
      <c r="J24" s="103"/>
      <c r="K24" s="103"/>
      <c r="L24" s="103"/>
      <c r="M24" s="103"/>
      <c r="N24" s="103"/>
    </row>
    <row r="25" spans="1:19" x14ac:dyDescent="0.25">
      <c r="A25" s="71"/>
      <c r="B25" s="72"/>
      <c r="C25" s="74" t="s">
        <v>29</v>
      </c>
      <c r="D25" s="74"/>
      <c r="E25" s="91"/>
      <c r="F25" s="74"/>
      <c r="G25" s="72"/>
      <c r="H25" s="103"/>
      <c r="I25" s="103"/>
      <c r="J25" s="103"/>
      <c r="K25" s="103"/>
      <c r="L25" s="103"/>
      <c r="M25" s="103"/>
      <c r="N25" s="103"/>
    </row>
    <row r="26" spans="1:19" x14ac:dyDescent="0.25">
      <c r="A26" s="71"/>
      <c r="B26" s="72"/>
      <c r="C26" s="74" t="s">
        <v>30</v>
      </c>
      <c r="D26" s="74"/>
      <c r="E26" s="91"/>
      <c r="F26" s="74"/>
      <c r="G26" s="72"/>
      <c r="H26" s="103"/>
      <c r="I26" s="103"/>
      <c r="J26" s="103"/>
      <c r="K26" s="103"/>
      <c r="L26" s="103"/>
      <c r="M26" s="103"/>
      <c r="N26" s="103"/>
    </row>
    <row r="27" spans="1:19" x14ac:dyDescent="0.25">
      <c r="A27" s="71"/>
      <c r="B27" s="72"/>
      <c r="C27" s="74" t="s">
        <v>31</v>
      </c>
      <c r="D27" s="74"/>
      <c r="E27" s="91"/>
      <c r="F27" s="74"/>
      <c r="G27" s="72"/>
      <c r="H27" s="103"/>
      <c r="I27" s="103"/>
      <c r="J27" s="103"/>
      <c r="K27" s="106"/>
      <c r="L27" s="106"/>
      <c r="M27" s="106"/>
      <c r="N27" s="106"/>
    </row>
    <row r="28" spans="1:19" x14ac:dyDescent="0.25">
      <c r="A28" s="71"/>
      <c r="B28" s="72"/>
      <c r="C28" s="74" t="s">
        <v>32</v>
      </c>
      <c r="D28" s="74"/>
      <c r="E28" s="91"/>
      <c r="F28" s="74"/>
      <c r="G28" s="72"/>
      <c r="H28" s="103"/>
      <c r="I28" s="103"/>
      <c r="J28" s="103"/>
      <c r="K28" s="103"/>
      <c r="L28" s="103"/>
      <c r="M28" s="103"/>
      <c r="N28" s="103"/>
    </row>
    <row r="29" spans="1:19" x14ac:dyDescent="0.25">
      <c r="A29" s="71"/>
      <c r="B29" s="72"/>
      <c r="C29" s="75" t="s">
        <v>33</v>
      </c>
      <c r="D29" s="74"/>
      <c r="E29" s="92"/>
      <c r="F29" s="74"/>
      <c r="G29" s="72"/>
      <c r="H29" s="103"/>
      <c r="I29" s="103"/>
      <c r="J29" s="103"/>
      <c r="K29" s="103"/>
      <c r="L29" s="103"/>
      <c r="M29" s="103"/>
      <c r="N29" s="103"/>
    </row>
    <row r="30" spans="1:19" x14ac:dyDescent="0.25">
      <c r="A30" s="71"/>
      <c r="B30" s="72"/>
      <c r="C30" s="75" t="s">
        <v>34</v>
      </c>
      <c r="D30" s="74"/>
      <c r="E30" s="92"/>
      <c r="F30" s="74"/>
      <c r="G30" s="72"/>
      <c r="H30" s="103"/>
      <c r="I30" s="103"/>
      <c r="J30" s="103"/>
      <c r="K30" s="103"/>
      <c r="L30" s="103"/>
      <c r="M30" s="103"/>
      <c r="N30" s="103"/>
    </row>
    <row r="31" spans="1:19" x14ac:dyDescent="0.25">
      <c r="A31" s="71"/>
      <c r="B31" s="72"/>
      <c r="C31" s="75" t="s">
        <v>35</v>
      </c>
      <c r="D31" s="74"/>
      <c r="E31" s="92"/>
      <c r="F31" s="74"/>
      <c r="G31" s="72"/>
      <c r="H31" s="114"/>
      <c r="I31" s="103"/>
      <c r="J31" s="112">
        <v>2022</v>
      </c>
      <c r="K31" s="112">
        <v>1</v>
      </c>
      <c r="L31" s="110">
        <v>44562</v>
      </c>
      <c r="M31" s="101">
        <v>763.47</v>
      </c>
      <c r="N31" s="103">
        <v>442.46</v>
      </c>
      <c r="O31" s="103">
        <v>237.62</v>
      </c>
      <c r="P31" s="103">
        <v>235.8</v>
      </c>
      <c r="Q31" s="103">
        <v>233.99</v>
      </c>
      <c r="R31" s="103">
        <v>633.25</v>
      </c>
      <c r="S31" s="103">
        <v>678.66</v>
      </c>
    </row>
    <row r="32" spans="1:19" ht="15" customHeight="1" x14ac:dyDescent="0.55000000000000004">
      <c r="A32" s="71"/>
      <c r="B32" s="72"/>
      <c r="C32" s="75" t="s">
        <v>36</v>
      </c>
      <c r="D32" s="74"/>
      <c r="E32" s="92"/>
      <c r="F32" s="76"/>
      <c r="G32" s="77"/>
      <c r="H32" s="114"/>
      <c r="I32" s="103"/>
      <c r="J32" s="112">
        <v>2021</v>
      </c>
      <c r="K32" s="112">
        <v>2</v>
      </c>
      <c r="L32" s="111">
        <v>44197</v>
      </c>
      <c r="M32" s="103">
        <v>752.33</v>
      </c>
      <c r="N32" s="103">
        <v>442.46</v>
      </c>
      <c r="O32" s="103">
        <v>237.62</v>
      </c>
      <c r="P32" s="103">
        <v>235.8</v>
      </c>
      <c r="Q32" s="103">
        <v>233.99</v>
      </c>
      <c r="R32" s="103">
        <v>633.25</v>
      </c>
      <c r="S32" s="103">
        <v>678.66</v>
      </c>
    </row>
    <row r="33" spans="1:19" ht="15" customHeight="1" x14ac:dyDescent="0.55000000000000004">
      <c r="A33" s="71"/>
      <c r="B33" s="72"/>
      <c r="C33" s="93" t="s">
        <v>56</v>
      </c>
      <c r="D33" s="74"/>
      <c r="E33" s="92"/>
      <c r="F33" s="76"/>
      <c r="G33" s="77"/>
      <c r="H33" s="114"/>
      <c r="I33" s="103"/>
      <c r="J33" s="112">
        <v>2020</v>
      </c>
      <c r="K33" s="112">
        <v>3</v>
      </c>
      <c r="L33" s="110">
        <v>43831</v>
      </c>
      <c r="M33" s="103">
        <v>737.14</v>
      </c>
      <c r="N33" s="103">
        <v>432.51</v>
      </c>
      <c r="O33" s="102">
        <v>232.65</v>
      </c>
      <c r="P33" s="102">
        <v>230.83</v>
      </c>
      <c r="Q33" s="102">
        <v>229.02</v>
      </c>
      <c r="R33" s="102">
        <v>619.01</v>
      </c>
      <c r="S33" s="102">
        <v>663.4</v>
      </c>
    </row>
    <row r="34" spans="1:19" x14ac:dyDescent="0.25">
      <c r="A34" s="71"/>
      <c r="B34" s="72"/>
      <c r="C34" s="74" t="s">
        <v>37</v>
      </c>
      <c r="D34" s="74"/>
      <c r="E34" s="78">
        <f>SUM(E23:E33)</f>
        <v>0</v>
      </c>
      <c r="F34" s="74"/>
      <c r="G34" s="72"/>
      <c r="H34" s="103"/>
      <c r="I34" s="103"/>
      <c r="J34" s="112">
        <v>2019</v>
      </c>
      <c r="K34" s="113">
        <v>4</v>
      </c>
      <c r="L34" s="110">
        <v>43466</v>
      </c>
      <c r="M34" s="103">
        <v>720.42</v>
      </c>
      <c r="N34" s="103">
        <v>424.44</v>
      </c>
      <c r="O34" s="102">
        <v>228.62</v>
      </c>
      <c r="P34" s="102">
        <v>226.8</v>
      </c>
      <c r="Q34" s="102">
        <v>224.99</v>
      </c>
      <c r="R34" s="102">
        <v>607.46</v>
      </c>
      <c r="S34" s="102">
        <v>651.03</v>
      </c>
    </row>
    <row r="35" spans="1:19" x14ac:dyDescent="0.25">
      <c r="A35" s="71"/>
      <c r="B35" s="72"/>
      <c r="C35" s="69" t="s">
        <v>38</v>
      </c>
      <c r="D35" s="69"/>
      <c r="E35" s="79"/>
      <c r="F35" s="79">
        <f>E34/12</f>
        <v>0</v>
      </c>
      <c r="G35" s="72"/>
      <c r="H35" s="103"/>
      <c r="I35" s="103"/>
      <c r="J35" s="112"/>
      <c r="K35" s="110"/>
      <c r="L35" s="103"/>
      <c r="M35" s="103"/>
      <c r="N35" s="103"/>
    </row>
    <row r="36" spans="1:19" x14ac:dyDescent="0.25">
      <c r="A36" s="71"/>
      <c r="B36" s="72"/>
      <c r="C36" s="59"/>
      <c r="D36" s="59"/>
      <c r="E36" s="80"/>
      <c r="F36" s="80"/>
      <c r="G36" s="72"/>
      <c r="H36" s="103"/>
      <c r="I36" s="103"/>
      <c r="J36" s="112"/>
      <c r="K36" s="111"/>
      <c r="L36" s="103"/>
      <c r="M36" s="103"/>
      <c r="N36" s="103"/>
    </row>
    <row r="37" spans="1:19" x14ac:dyDescent="0.25">
      <c r="A37" s="54"/>
      <c r="B37" s="59"/>
      <c r="C37" s="69" t="s">
        <v>39</v>
      </c>
      <c r="D37" s="69"/>
      <c r="E37" s="69"/>
      <c r="F37" s="81">
        <f>IF(E16&lt;23,L8,L7)</f>
        <v>763.47</v>
      </c>
      <c r="G37" s="59"/>
      <c r="H37" s="103"/>
      <c r="I37" s="103"/>
      <c r="J37" s="103"/>
      <c r="K37" s="103"/>
      <c r="L37" s="103"/>
      <c r="M37" s="103"/>
      <c r="N37" s="103"/>
    </row>
    <row r="38" spans="1:19" x14ac:dyDescent="0.25">
      <c r="A38" s="54"/>
      <c r="B38" s="59"/>
      <c r="C38" s="82" t="str">
        <f>IF(F35&gt;F37,"maandlasten liggen boven max. huurbedrag, verhuisplicht opleggen?"," ")</f>
        <v xml:space="preserve"> </v>
      </c>
      <c r="D38" s="82"/>
      <c r="E38" s="82"/>
      <c r="F38" s="81"/>
      <c r="G38" s="59"/>
      <c r="H38" s="103"/>
      <c r="I38" s="103"/>
      <c r="J38" s="103"/>
      <c r="K38" s="103"/>
      <c r="L38" s="103"/>
      <c r="M38" s="103"/>
      <c r="N38" s="103"/>
    </row>
    <row r="39" spans="1:19" x14ac:dyDescent="0.25">
      <c r="A39" s="54"/>
      <c r="B39" s="59"/>
      <c r="C39" s="59"/>
      <c r="D39" s="59"/>
      <c r="E39" s="59"/>
      <c r="F39" s="59"/>
      <c r="G39" s="80"/>
      <c r="H39" s="114"/>
      <c r="I39" s="103"/>
      <c r="J39" s="103"/>
      <c r="K39" s="114"/>
      <c r="L39" s="114"/>
      <c r="M39" s="114"/>
      <c r="N39" s="114"/>
    </row>
    <row r="40" spans="1:19" x14ac:dyDescent="0.25">
      <c r="A40" s="54"/>
      <c r="B40" s="59"/>
      <c r="C40" s="17" t="s">
        <v>40</v>
      </c>
      <c r="D40" s="17"/>
      <c r="E40" s="17"/>
      <c r="F40" s="17"/>
      <c r="G40" s="59"/>
      <c r="H40" s="103"/>
      <c r="I40" s="103"/>
      <c r="J40" s="103"/>
      <c r="K40" s="103"/>
      <c r="L40" s="103"/>
      <c r="M40" s="103"/>
      <c r="N40" s="103"/>
    </row>
    <row r="41" spans="1:19" x14ac:dyDescent="0.25">
      <c r="A41" s="54"/>
      <c r="B41" s="59"/>
      <c r="C41" s="17" t="s">
        <v>41</v>
      </c>
      <c r="D41" s="17"/>
      <c r="E41" s="29">
        <f>IF($F$35&lt;$L$8,$F$35,$L$8)</f>
        <v>0</v>
      </c>
      <c r="F41" s="17"/>
      <c r="G41" s="59"/>
      <c r="H41" s="103"/>
      <c r="I41" s="103"/>
      <c r="J41" s="103"/>
      <c r="K41" s="103"/>
      <c r="L41" s="103"/>
      <c r="M41" s="103"/>
      <c r="N41" s="103"/>
    </row>
    <row r="42" spans="1:19" x14ac:dyDescent="0.25">
      <c r="A42" s="54"/>
      <c r="B42" s="59"/>
      <c r="C42" s="17" t="s">
        <v>42</v>
      </c>
      <c r="D42" s="17"/>
      <c r="E42" s="30">
        <f>IF($J$16=1,$L$10,IF($J$20=1,$L$11,$L$12))</f>
        <v>237.62</v>
      </c>
      <c r="F42" s="17"/>
      <c r="G42" s="59"/>
      <c r="H42" s="103"/>
      <c r="I42" s="103"/>
      <c r="J42" s="103"/>
      <c r="K42" s="103"/>
      <c r="L42" s="103"/>
      <c r="M42" s="103"/>
      <c r="N42" s="103"/>
    </row>
    <row r="43" spans="1:19" x14ac:dyDescent="0.25">
      <c r="A43" s="54"/>
      <c r="B43" s="59"/>
      <c r="C43" s="13" t="str">
        <f>IF($E$16&lt;23,"maximale huurtoeslag belangh. jonger dan 23 jaar","deel 100%")</f>
        <v>deel 100%</v>
      </c>
      <c r="D43" s="17"/>
      <c r="E43" s="27"/>
      <c r="F43" s="27">
        <f>IF(E41-E42&lt;0,0,E41-E42)</f>
        <v>0</v>
      </c>
      <c r="G43" s="59"/>
      <c r="H43" s="103"/>
      <c r="I43" s="103"/>
      <c r="J43" s="103"/>
      <c r="K43" s="103"/>
      <c r="L43" s="103"/>
      <c r="M43" s="103"/>
      <c r="N43" s="103"/>
    </row>
    <row r="44" spans="1:19" x14ac:dyDescent="0.25">
      <c r="A44" s="54"/>
      <c r="B44" s="59"/>
      <c r="C44" s="7"/>
      <c r="D44" s="7"/>
      <c r="E44" s="7"/>
      <c r="F44" s="17"/>
      <c r="G44" s="59"/>
      <c r="H44" s="114"/>
      <c r="I44" s="103"/>
      <c r="J44" s="103"/>
      <c r="K44" s="114"/>
      <c r="L44" s="114"/>
      <c r="M44" s="114"/>
      <c r="N44" s="114"/>
    </row>
    <row r="45" spans="1:19" x14ac:dyDescent="0.25">
      <c r="A45" s="54"/>
      <c r="B45" s="59"/>
      <c r="C45" s="17" t="s">
        <v>43</v>
      </c>
      <c r="D45" s="17"/>
      <c r="E45" s="17"/>
      <c r="F45" s="27"/>
      <c r="G45" s="59"/>
      <c r="H45" s="114"/>
      <c r="I45" s="103"/>
      <c r="J45" s="103"/>
      <c r="K45" s="114"/>
      <c r="L45" s="114"/>
      <c r="M45" s="114"/>
      <c r="N45" s="114"/>
    </row>
    <row r="46" spans="1:19" x14ac:dyDescent="0.25">
      <c r="A46" s="54"/>
      <c r="B46" s="59"/>
      <c r="C46" s="17" t="s">
        <v>44</v>
      </c>
      <c r="D46" s="17"/>
      <c r="E46" s="27">
        <f>IF($E$16&lt;23,0,IF($F$35&gt;$L$8,IF($J$20&lt;3,$L$14,$L$15),$F$35))</f>
        <v>0</v>
      </c>
      <c r="F46" s="17"/>
      <c r="G46" s="59"/>
      <c r="H46" s="114"/>
      <c r="I46" s="103"/>
      <c r="J46" s="103"/>
      <c r="K46" s="114"/>
      <c r="L46" s="114"/>
      <c r="M46" s="114"/>
      <c r="N46" s="114"/>
    </row>
    <row r="47" spans="1:19" x14ac:dyDescent="0.25">
      <c r="A47" s="54"/>
      <c r="B47" s="59"/>
      <c r="C47" s="17" t="s">
        <v>58</v>
      </c>
      <c r="D47" s="17"/>
      <c r="E47" s="81">
        <f>IF(F35&lt;E46,F35,E46)</f>
        <v>0</v>
      </c>
      <c r="F47" s="17"/>
      <c r="G47" s="59"/>
      <c r="H47" s="114"/>
      <c r="I47" s="103"/>
      <c r="J47" s="103"/>
      <c r="K47" s="114"/>
      <c r="L47" s="114"/>
      <c r="M47" s="114"/>
      <c r="N47" s="114"/>
    </row>
    <row r="48" spans="1:19" x14ac:dyDescent="0.25">
      <c r="A48" s="54"/>
      <c r="B48" s="59"/>
      <c r="C48" s="17" t="s">
        <v>41</v>
      </c>
      <c r="D48" s="17"/>
      <c r="E48" s="30">
        <f>IF($E$16&lt;23,0,$L$8)</f>
        <v>442.46</v>
      </c>
      <c r="F48" s="17"/>
      <c r="G48" s="59"/>
      <c r="H48" s="114"/>
      <c r="I48" s="103"/>
      <c r="J48" s="103"/>
      <c r="K48" s="114"/>
      <c r="L48" s="114"/>
      <c r="M48" s="114"/>
      <c r="N48" s="114"/>
    </row>
    <row r="49" spans="1:14" x14ac:dyDescent="0.25">
      <c r="A49" s="54"/>
      <c r="B49" s="59"/>
      <c r="C49" s="17" t="s">
        <v>45</v>
      </c>
      <c r="D49" s="17"/>
      <c r="E49" s="27">
        <f>IF(E47-E48&gt;0,E47-E48,0)</f>
        <v>0</v>
      </c>
      <c r="F49" s="30">
        <f>IF($E$16&gt;22,$E$49*65%,0)</f>
        <v>0</v>
      </c>
      <c r="G49" s="59"/>
      <c r="H49" s="114"/>
      <c r="I49" s="103"/>
      <c r="J49" s="103"/>
      <c r="K49" s="114"/>
      <c r="L49" s="114"/>
      <c r="M49" s="114"/>
      <c r="N49" s="114"/>
    </row>
    <row r="50" spans="1:14" x14ac:dyDescent="0.25">
      <c r="A50" s="54"/>
      <c r="B50" s="59"/>
      <c r="C50" s="7"/>
      <c r="D50" s="7"/>
      <c r="E50" s="7"/>
      <c r="F50" s="27"/>
      <c r="G50" s="59"/>
      <c r="H50" s="114"/>
      <c r="I50" s="103"/>
      <c r="J50" s="103"/>
      <c r="K50" s="103"/>
      <c r="L50" s="103"/>
      <c r="M50" s="103"/>
      <c r="N50" s="103"/>
    </row>
    <row r="51" spans="1:14" x14ac:dyDescent="0.25">
      <c r="A51" s="54"/>
      <c r="B51" s="59"/>
      <c r="C51" s="31" t="s">
        <v>46</v>
      </c>
      <c r="D51" s="31"/>
      <c r="E51" s="31"/>
      <c r="F51" s="31"/>
      <c r="G51" s="59"/>
      <c r="H51" s="103"/>
      <c r="I51" s="103"/>
      <c r="J51" s="103"/>
      <c r="K51" s="114"/>
      <c r="L51" s="114"/>
      <c r="M51" s="114"/>
      <c r="N51" s="114"/>
    </row>
    <row r="52" spans="1:14" x14ac:dyDescent="0.25">
      <c r="A52" s="54"/>
      <c r="B52" s="59"/>
      <c r="C52" s="31" t="s">
        <v>47</v>
      </c>
      <c r="D52" s="31"/>
      <c r="E52" s="31"/>
      <c r="F52" s="31"/>
      <c r="G52" s="59"/>
      <c r="H52" s="103"/>
      <c r="I52" s="103"/>
      <c r="J52" s="114"/>
      <c r="K52" s="114"/>
      <c r="L52" s="114"/>
      <c r="M52" s="114"/>
      <c r="N52" s="114"/>
    </row>
    <row r="53" spans="1:14" x14ac:dyDescent="0.25">
      <c r="A53" s="54"/>
      <c r="B53" s="59"/>
      <c r="C53" s="31" t="s">
        <v>48</v>
      </c>
      <c r="D53" s="31"/>
      <c r="E53" s="32">
        <f>IF($J$16=2,IF($F$35&lt;$F$37,F$35,$F$37),IF(J20=1,IF($F$35&lt;$F$37,F$35,$F$37),0))</f>
        <v>0</v>
      </c>
      <c r="F53" s="32"/>
      <c r="G53" s="59"/>
      <c r="H53" s="103"/>
      <c r="I53" s="103"/>
      <c r="J53" s="114"/>
      <c r="K53" s="103"/>
      <c r="L53" s="103"/>
      <c r="M53" s="103"/>
      <c r="N53" s="103"/>
    </row>
    <row r="54" spans="1:14" x14ac:dyDescent="0.25">
      <c r="A54" s="54"/>
      <c r="B54" s="59"/>
      <c r="C54" s="31" t="s">
        <v>44</v>
      </c>
      <c r="D54" s="31"/>
      <c r="E54" s="32">
        <f>IF(E53=0,0,IF(J20=3,L15,L14))</f>
        <v>0</v>
      </c>
      <c r="F54" s="32"/>
      <c r="G54" s="59"/>
      <c r="H54" s="103"/>
      <c r="I54" s="103"/>
      <c r="J54" s="114"/>
      <c r="K54" s="103"/>
      <c r="L54" s="103"/>
      <c r="M54" s="103"/>
      <c r="N54" s="103"/>
    </row>
    <row r="55" spans="1:14" x14ac:dyDescent="0.25">
      <c r="A55" s="54"/>
      <c r="B55" s="59"/>
      <c r="C55" s="31" t="s">
        <v>49</v>
      </c>
      <c r="D55" s="31"/>
      <c r="E55" s="32">
        <f>E53-E54</f>
        <v>0</v>
      </c>
      <c r="F55" s="33">
        <f>IF($J$16=2,$E$55*0.4,0)</f>
        <v>0</v>
      </c>
      <c r="G55" s="59"/>
      <c r="H55" s="103"/>
      <c r="I55" s="103"/>
      <c r="J55" s="103"/>
      <c r="K55" s="103"/>
      <c r="L55" s="103"/>
      <c r="M55" s="103"/>
      <c r="N55" s="103"/>
    </row>
    <row r="56" spans="1:14" x14ac:dyDescent="0.25">
      <c r="A56" s="54"/>
      <c r="B56" s="59"/>
      <c r="C56" s="34"/>
      <c r="D56" s="34"/>
      <c r="E56" s="34"/>
      <c r="F56" s="32"/>
      <c r="G56" s="59"/>
      <c r="H56" s="103"/>
      <c r="I56" s="103"/>
      <c r="J56" s="103"/>
      <c r="K56" s="103"/>
      <c r="L56" s="103"/>
      <c r="M56" s="103"/>
      <c r="N56" s="103"/>
    </row>
    <row r="57" spans="1:14" ht="15.75" x14ac:dyDescent="0.25">
      <c r="A57" s="54"/>
      <c r="B57" s="59"/>
      <c r="C57" s="35" t="s">
        <v>50</v>
      </c>
      <c r="D57" s="35"/>
      <c r="E57" s="36"/>
      <c r="F57" s="35">
        <f>SUM(F43:F56)</f>
        <v>0</v>
      </c>
      <c r="G57" s="59"/>
      <c r="H57" s="103"/>
      <c r="I57" s="103"/>
      <c r="J57" s="103"/>
      <c r="K57" s="103"/>
      <c r="L57" s="103"/>
      <c r="M57" s="103"/>
      <c r="N57" s="103"/>
    </row>
    <row r="58" spans="1:14" x14ac:dyDescent="0.25">
      <c r="A58" s="54"/>
      <c r="B58" s="83"/>
      <c r="C58" s="7"/>
      <c r="D58" s="7"/>
      <c r="E58" s="7"/>
      <c r="F58" s="7"/>
      <c r="G58" s="59"/>
      <c r="H58" s="103"/>
      <c r="I58" s="103"/>
      <c r="J58" s="103"/>
      <c r="K58" s="114"/>
      <c r="L58" s="114"/>
      <c r="M58" s="114"/>
      <c r="N58" s="114"/>
    </row>
    <row r="59" spans="1:14" x14ac:dyDescent="0.25">
      <c r="A59" s="54"/>
      <c r="B59" s="83"/>
      <c r="C59" s="17"/>
      <c r="D59" s="17"/>
      <c r="E59" s="17"/>
      <c r="F59" s="17"/>
      <c r="G59" s="59"/>
      <c r="H59" s="103"/>
      <c r="I59" s="103"/>
      <c r="J59" s="103"/>
      <c r="K59" s="114"/>
      <c r="L59" s="114"/>
      <c r="M59" s="114"/>
      <c r="N59" s="114"/>
    </row>
    <row r="60" spans="1:14" x14ac:dyDescent="0.25">
      <c r="A60" s="54"/>
      <c r="B60" s="84"/>
      <c r="C60" s="39" t="s">
        <v>51</v>
      </c>
      <c r="D60" s="40"/>
      <c r="E60" s="40"/>
      <c r="F60" s="40"/>
      <c r="G60" s="59"/>
      <c r="H60" s="103"/>
      <c r="I60" s="103"/>
      <c r="J60" s="103"/>
      <c r="K60" s="114"/>
      <c r="L60" s="114"/>
      <c r="M60" s="114"/>
      <c r="N60" s="114"/>
    </row>
    <row r="61" spans="1:14" x14ac:dyDescent="0.25">
      <c r="A61" s="55"/>
      <c r="B61" s="83"/>
      <c r="C61" s="7"/>
      <c r="D61" s="7"/>
      <c r="E61" s="7"/>
      <c r="F61" s="7"/>
      <c r="G61" s="59"/>
      <c r="H61" s="103"/>
      <c r="I61" s="103"/>
      <c r="J61" s="103"/>
      <c r="K61" s="103"/>
      <c r="L61" s="103"/>
      <c r="M61" s="103"/>
      <c r="N61" s="103"/>
    </row>
    <row r="62" spans="1:14" x14ac:dyDescent="0.25">
      <c r="A62" s="55"/>
      <c r="B62" s="59"/>
      <c r="C62" s="17" t="s">
        <v>38</v>
      </c>
      <c r="D62" s="17"/>
      <c r="E62" s="27">
        <f>IF(F35&gt;F37,F35,0)</f>
        <v>0</v>
      </c>
      <c r="F62" s="27"/>
      <c r="G62" s="59"/>
      <c r="H62" s="103"/>
      <c r="I62" s="103"/>
      <c r="J62" s="103"/>
      <c r="K62" s="103"/>
      <c r="L62" s="103"/>
      <c r="M62" s="103"/>
      <c r="N62" s="103"/>
    </row>
    <row r="63" spans="1:14" x14ac:dyDescent="0.25">
      <c r="A63" s="55"/>
      <c r="B63" s="59"/>
      <c r="C63" s="17" t="s">
        <v>39</v>
      </c>
      <c r="D63" s="17"/>
      <c r="E63" s="30">
        <f>L7</f>
        <v>763.47</v>
      </c>
      <c r="F63" s="27"/>
      <c r="G63" s="59"/>
      <c r="H63" s="103"/>
      <c r="I63" s="103"/>
      <c r="J63" s="103"/>
      <c r="K63" s="103"/>
      <c r="L63" s="103"/>
      <c r="M63" s="103"/>
      <c r="N63" s="103"/>
    </row>
    <row r="64" spans="1:14" x14ac:dyDescent="0.25">
      <c r="A64" s="55"/>
      <c r="B64" s="59"/>
      <c r="C64" s="28" t="s">
        <v>52</v>
      </c>
      <c r="D64" s="17"/>
      <c r="E64" s="41"/>
      <c r="F64" s="42">
        <f>IF(E62-E63&lt;0,0,E62-E63)</f>
        <v>0</v>
      </c>
      <c r="G64" s="59"/>
      <c r="H64" s="119"/>
      <c r="I64" s="103"/>
      <c r="J64" s="103"/>
      <c r="K64" s="103"/>
      <c r="L64" s="103"/>
      <c r="M64" s="103"/>
      <c r="N64" s="103"/>
    </row>
    <row r="65" spans="1:14" x14ac:dyDescent="0.25">
      <c r="A65" s="55"/>
      <c r="B65" s="59"/>
      <c r="C65" s="28" t="str">
        <f>IF(F64&gt;0,"Denk om verhuisplicht!"," ")</f>
        <v xml:space="preserve"> </v>
      </c>
      <c r="D65" s="17"/>
      <c r="E65" s="27"/>
      <c r="F65" s="27"/>
      <c r="G65" s="59"/>
      <c r="H65" s="103"/>
      <c r="I65" s="103"/>
      <c r="J65" s="103"/>
      <c r="K65" s="103"/>
      <c r="L65" s="103"/>
      <c r="M65" s="103"/>
      <c r="N65" s="103"/>
    </row>
    <row r="66" spans="1:14" x14ac:dyDescent="0.25">
      <c r="A66" s="55"/>
      <c r="B66" s="59"/>
      <c r="C66" s="59"/>
      <c r="D66" s="59"/>
      <c r="E66" s="59"/>
      <c r="F66" s="59"/>
      <c r="G66" s="59"/>
      <c r="H66" s="103"/>
      <c r="I66" s="103"/>
      <c r="J66" s="103"/>
      <c r="K66" s="103"/>
      <c r="L66" s="103"/>
      <c r="M66" s="103"/>
      <c r="N66" s="103"/>
    </row>
    <row r="67" spans="1:14" x14ac:dyDescent="0.25">
      <c r="A67" s="55"/>
      <c r="B67" s="83"/>
      <c r="C67" s="59"/>
      <c r="D67" s="59"/>
      <c r="E67" s="59"/>
      <c r="F67" s="59"/>
      <c r="G67" s="59"/>
      <c r="H67" s="103"/>
      <c r="I67" s="103"/>
      <c r="J67" s="103"/>
      <c r="K67" s="103"/>
      <c r="L67" s="103"/>
      <c r="M67" s="103"/>
      <c r="N67" s="103"/>
    </row>
    <row r="68" spans="1:14" x14ac:dyDescent="0.25">
      <c r="A68" s="54"/>
      <c r="B68" s="83"/>
      <c r="C68" s="69"/>
      <c r="D68" s="69"/>
      <c r="E68" s="69"/>
      <c r="F68" s="69"/>
      <c r="G68" s="59"/>
      <c r="H68" s="103"/>
      <c r="I68" s="103"/>
      <c r="J68" s="103"/>
    </row>
    <row r="69" spans="1:14" ht="18.75" x14ac:dyDescent="0.3">
      <c r="A69" s="54"/>
      <c r="B69" s="86"/>
      <c r="C69" s="87" t="s">
        <v>53</v>
      </c>
      <c r="D69" s="69"/>
      <c r="E69" s="69"/>
      <c r="F69" s="88">
        <f>F57+F64</f>
        <v>0</v>
      </c>
      <c r="G69" s="59"/>
      <c r="H69" s="103"/>
      <c r="I69" s="103"/>
      <c r="J69" s="103"/>
      <c r="K69" s="103"/>
      <c r="L69" s="103"/>
      <c r="M69" s="103"/>
      <c r="N69" s="103"/>
    </row>
    <row r="70" spans="1:14" x14ac:dyDescent="0.25">
      <c r="A70" s="55"/>
      <c r="B70" s="83"/>
      <c r="C70" s="83"/>
      <c r="D70" s="83"/>
      <c r="E70" s="83"/>
      <c r="F70" s="83"/>
      <c r="G70" s="59"/>
      <c r="H70" s="103"/>
      <c r="I70" s="103"/>
      <c r="J70" s="103"/>
      <c r="K70" s="103"/>
      <c r="L70" s="103"/>
      <c r="M70" s="103"/>
      <c r="N70" s="103"/>
    </row>
    <row r="71" spans="1:14" x14ac:dyDescent="0.25">
      <c r="A71" s="55"/>
      <c r="B71" s="89"/>
      <c r="C71" s="85"/>
      <c r="D71" s="85"/>
      <c r="E71" s="85"/>
      <c r="F71" s="85"/>
      <c r="G71" s="89"/>
      <c r="I71" s="103"/>
      <c r="J71" s="103"/>
      <c r="K71" s="103"/>
      <c r="L71" s="103"/>
      <c r="M71" s="103"/>
      <c r="N71" s="103"/>
    </row>
    <row r="72" spans="1:14" x14ac:dyDescent="0.25">
      <c r="A72" s="55"/>
      <c r="B72" s="90" t="s">
        <v>54</v>
      </c>
      <c r="C72" s="85"/>
      <c r="D72" s="85"/>
      <c r="E72" s="85"/>
      <c r="F72" s="85"/>
      <c r="G72" s="89"/>
      <c r="I72" s="103"/>
      <c r="J72" s="103"/>
      <c r="K72" s="103"/>
      <c r="L72" s="103"/>
      <c r="M72" s="103"/>
      <c r="N72" s="103"/>
    </row>
    <row r="73" spans="1:14" x14ac:dyDescent="0.25">
      <c r="A73" s="55"/>
      <c r="B73" s="89"/>
      <c r="C73" s="85"/>
      <c r="D73" s="85"/>
      <c r="E73" s="85"/>
      <c r="F73" s="85"/>
      <c r="G73" s="89"/>
      <c r="I73" s="103"/>
      <c r="J73" s="103"/>
      <c r="K73" s="103"/>
      <c r="L73" s="103"/>
      <c r="M73" s="103"/>
      <c r="N73" s="103"/>
    </row>
    <row r="74" spans="1:14" x14ac:dyDescent="0.25">
      <c r="A74" s="55"/>
      <c r="B74" s="89"/>
      <c r="C74" s="85"/>
      <c r="D74" s="85"/>
      <c r="E74" s="85"/>
      <c r="F74" s="85"/>
      <c r="G74" s="89"/>
      <c r="I74" s="103"/>
      <c r="J74" s="103"/>
      <c r="K74" s="103"/>
      <c r="L74" s="103"/>
      <c r="M74" s="103"/>
      <c r="N74" s="103"/>
    </row>
    <row r="75" spans="1:14" x14ac:dyDescent="0.25">
      <c r="A75" s="55"/>
      <c r="B75" s="89"/>
      <c r="C75" s="85"/>
      <c r="D75" s="85"/>
      <c r="E75" s="85"/>
      <c r="F75" s="85"/>
      <c r="G75" s="89"/>
      <c r="I75" s="103"/>
      <c r="J75" s="103"/>
      <c r="K75" s="103"/>
      <c r="L75" s="103"/>
      <c r="M75" s="103"/>
      <c r="N75" s="103"/>
    </row>
  </sheetData>
  <sheetProtection algorithmName="SHA-512" hashValue="G8VMmI5kcNYzVgpSWc2JZDG9Vx1rSiqf6E9dSA6qJkSpaTX3QhHB/1pdvVbARpuUZbaAp8hkg0tCn0Oz63eXvg==" saltValue="WqVbNaqj5EOsqI8IUpatWw==" spinCount="100000" sheet="1" objects="1" scenarios="1"/>
  <mergeCells count="3">
    <mergeCell ref="D12:E12"/>
    <mergeCell ref="D13:E13"/>
    <mergeCell ref="D14:E1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3" name="Drop Down 11">
              <controlPr defaultSize="0" autoLine="0" autoPict="0">
                <anchor moveWithCells="1">
                  <from>
                    <xdr:col>3</xdr:col>
                    <xdr:colOff>904875</xdr:colOff>
                    <xdr:row>17</xdr:row>
                    <xdr:rowOff>19050</xdr:rowOff>
                  </from>
                  <to>
                    <xdr:col>5</xdr:col>
                    <xdr:colOff>19050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4" name="Drop Down 12">
              <controlPr defaultSize="0" autoLine="0" autoPict="0">
                <anchor moveWithCells="1">
                  <from>
                    <xdr:col>3</xdr:col>
                    <xdr:colOff>904875</xdr:colOff>
                    <xdr:row>19</xdr:row>
                    <xdr:rowOff>9525</xdr:rowOff>
                  </from>
                  <to>
                    <xdr:col>5</xdr:col>
                    <xdr:colOff>19050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Drop Down 13">
              <controlPr defaultSize="0" autoLine="0" autoPict="0">
                <anchor moveWithCells="1">
                  <from>
                    <xdr:col>4</xdr:col>
                    <xdr:colOff>571500</xdr:colOff>
                    <xdr:row>8</xdr:row>
                    <xdr:rowOff>19050</xdr:rowOff>
                  </from>
                  <to>
                    <xdr:col>5</xdr:col>
                    <xdr:colOff>133350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CCD1F26F664BA20980533B7A5F36" ma:contentTypeVersion="11" ma:contentTypeDescription="Een nieuw document maken." ma:contentTypeScope="" ma:versionID="932df633b1f8cc603e55ecba8227aacd">
  <xsd:schema xmlns:xsd="http://www.w3.org/2001/XMLSchema" xmlns:xs="http://www.w3.org/2001/XMLSchema" xmlns:p="http://schemas.microsoft.com/office/2006/metadata/properties" xmlns:ns2="77208d76-74ef-4048-b6b4-646fa5ac37f5" targetNamespace="http://schemas.microsoft.com/office/2006/metadata/properties" ma:root="true" ma:fieldsID="9ebe504d20f32cb512b2278a3275a601" ns2:_="">
    <xsd:import namespace="77208d76-74ef-4048-b6b4-646fa5ac3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08d76-74ef-4048-b6b4-646fa5ac3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800216-4269-4615-AB5B-468950831E7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7208d76-74ef-4048-b6b4-646fa5ac37f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8E90A0-1D65-47B8-A3D1-0ED3A3432A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A13312-4B6F-43DD-A5F5-32EF4362E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208d76-74ef-4048-b6b4-646fa5ac37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WKT  Huurwoning</vt:lpstr>
      <vt:lpstr>WKT Eigen woning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Reali</dc:creator>
  <cp:lastModifiedBy>Roberto Reali</cp:lastModifiedBy>
  <dcterms:created xsi:type="dcterms:W3CDTF">2021-12-31T12:09:56Z</dcterms:created>
  <dcterms:modified xsi:type="dcterms:W3CDTF">2022-07-27T19:16:34Z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