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https://figroep-my.sharepoint.com/personal/rreali_wyzer_nl/Documents/Documenten - kopie/berekeningen/"/>
    </mc:Choice>
  </mc:AlternateContent>
  <xr:revisionPtr revIDLastSave="0" documentId="8_{606D8E72-0339-42CF-B7C4-37050B7A5AD0}" xr6:coauthVersionLast="46" xr6:coauthVersionMax="46" xr10:uidLastSave="{00000000-0000-0000-0000-000000000000}"/>
  <workbookProtection workbookAlgorithmName="SHA-512" workbookHashValue="gmKpt+VYof9XOwlPYJJmq9UhxXVZkU3yptQBGONXtHtjj0bLlzLCxeE93UlTczImbyJl7b4KGQfFoviuLb2vUw==" workbookSaltValue="NMfWaAC14697djfbqfBJZw==" workbookSpinCount="100000" lockStructure="1"/>
  <bookViews>
    <workbookView xWindow="-96" yWindow="-96" windowWidth="23232" windowHeight="12552" firstSheet="4" activeTab="6" xr2:uid="{00000000-000D-0000-FFFF-FFFF00000000}"/>
  </bookViews>
  <sheets>
    <sheet name="JAAR" sheetId="17" r:id="rId1"/>
    <sheet name="ber. elders gebr. Ahk Jaaropg" sheetId="33" r:id="rId2"/>
    <sheet name="Jaaropgave pers. &lt; AOW leeftijd" sheetId="31" r:id="rId3"/>
    <sheet name="Berekeningen" sheetId="18" state="hidden" r:id="rId4"/>
    <sheet name="ber. elders gebr. Ahk Vordering" sheetId="3" r:id="rId5"/>
    <sheet name="Bruteren vordering" sheetId="26" r:id="rId6"/>
    <sheet name="Elders gebr. Ahk vord dir brut " sheetId="35" r:id="rId7"/>
    <sheet name="Percentages" sheetId="16" state="hidden" r:id="rId8"/>
    <sheet name="Vordering direct bruteren" sheetId="14" r:id="rId9"/>
    <sheet name="parameters" sheetId="15" state="hidden"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3" i="18" l="1"/>
  <c r="B76" i="18"/>
  <c r="A76" i="18"/>
  <c r="H64" i="18"/>
  <c r="G64" i="18"/>
  <c r="E30" i="35"/>
  <c r="B75" i="18" s="1"/>
  <c r="C30" i="35"/>
  <c r="A75" i="18" s="1"/>
  <c r="E29" i="35"/>
  <c r="B74" i="18" s="1"/>
  <c r="C29" i="35"/>
  <c r="A74" i="18" s="1"/>
  <c r="E28" i="35"/>
  <c r="C28" i="35"/>
  <c r="A73" i="18" s="1"/>
  <c r="E27" i="35"/>
  <c r="B72" i="18" s="1"/>
  <c r="C27" i="35"/>
  <c r="A72" i="18" s="1"/>
  <c r="E26" i="35"/>
  <c r="B71" i="18" s="1"/>
  <c r="C26" i="35"/>
  <c r="A71" i="18" s="1"/>
  <c r="E25" i="35"/>
  <c r="B70" i="18" s="1"/>
  <c r="C25" i="35"/>
  <c r="A70" i="18" s="1"/>
  <c r="E24" i="35"/>
  <c r="B69" i="18" s="1"/>
  <c r="C24" i="35"/>
  <c r="A69" i="18" s="1"/>
  <c r="E23" i="35"/>
  <c r="B68" i="18" s="1"/>
  <c r="C23" i="35"/>
  <c r="A68" i="18" s="1"/>
  <c r="E22" i="35"/>
  <c r="B67" i="18" s="1"/>
  <c r="C22" i="35"/>
  <c r="A67" i="18" s="1"/>
  <c r="E21" i="35"/>
  <c r="B66" i="18" s="1"/>
  <c r="C21" i="35"/>
  <c r="A66" i="18" s="1"/>
  <c r="E20" i="35"/>
  <c r="B65" i="18" s="1"/>
  <c r="C20" i="35"/>
  <c r="A65" i="18" s="1"/>
  <c r="E19" i="35"/>
  <c r="B64" i="18" s="1"/>
  <c r="C19" i="35"/>
  <c r="A64" i="18" s="1"/>
  <c r="B4" i="35"/>
  <c r="B3" i="35"/>
  <c r="A1" i="35"/>
  <c r="C4" i="14"/>
  <c r="C5" i="26"/>
  <c r="C4" i="26"/>
  <c r="B59" i="18"/>
  <c r="A59" i="18"/>
  <c r="B31" i="18"/>
  <c r="B32" i="18"/>
  <c r="B33" i="18"/>
  <c r="B34" i="18"/>
  <c r="B35" i="18"/>
  <c r="B36" i="18"/>
  <c r="B37" i="18"/>
  <c r="B38" i="18"/>
  <c r="B39" i="18"/>
  <c r="B40" i="18"/>
  <c r="B41" i="18"/>
  <c r="B42" i="18"/>
  <c r="A42" i="18"/>
  <c r="B30" i="18"/>
  <c r="E30" i="33" l="1"/>
  <c r="C30" i="33"/>
  <c r="A41" i="18" s="1"/>
  <c r="E29" i="33"/>
  <c r="C29" i="33"/>
  <c r="A40" i="18" s="1"/>
  <c r="E28" i="33"/>
  <c r="C28" i="33"/>
  <c r="A39" i="18" s="1"/>
  <c r="E27" i="33"/>
  <c r="C27" i="33"/>
  <c r="A38" i="18" s="1"/>
  <c r="E26" i="33"/>
  <c r="C26" i="33"/>
  <c r="A37" i="18" s="1"/>
  <c r="E25" i="33"/>
  <c r="C25" i="33"/>
  <c r="A36" i="18" s="1"/>
  <c r="E24" i="33"/>
  <c r="C24" i="33"/>
  <c r="A35" i="18" s="1"/>
  <c r="E23" i="33"/>
  <c r="C23" i="33"/>
  <c r="A34" i="18" s="1"/>
  <c r="E22" i="33"/>
  <c r="C22" i="33"/>
  <c r="A33" i="18" s="1"/>
  <c r="E21" i="33"/>
  <c r="C21" i="33"/>
  <c r="A32" i="18" s="1"/>
  <c r="E20" i="33"/>
  <c r="C20" i="33"/>
  <c r="A31" i="18" s="1"/>
  <c r="E19" i="33"/>
  <c r="C19" i="33"/>
  <c r="B4" i="33"/>
  <c r="B3" i="33"/>
  <c r="A1" i="33"/>
  <c r="C5" i="31"/>
  <c r="C4" i="31"/>
  <c r="B3" i="3"/>
  <c r="B4" i="3"/>
  <c r="A30" i="18" l="1"/>
  <c r="G10" i="17"/>
  <c r="A2" i="14" l="1"/>
  <c r="A2" i="26"/>
  <c r="H47" i="18"/>
  <c r="G47" i="18"/>
  <c r="E124" i="14" l="1"/>
  <c r="D124" i="14"/>
  <c r="D120" i="14"/>
  <c r="E120" i="14" s="1"/>
  <c r="C124" i="14" s="1"/>
  <c r="E55" i="14"/>
  <c r="D55" i="14"/>
  <c r="D51" i="14"/>
  <c r="E51" i="14" s="1"/>
  <c r="C55" i="14" s="1"/>
  <c r="D41" i="31" l="1"/>
  <c r="E17" i="14"/>
  <c r="E15" i="14"/>
  <c r="F18" i="26"/>
  <c r="D71" i="26" s="1"/>
  <c r="E28" i="26"/>
  <c r="E26" i="26"/>
  <c r="A2" i="31" l="1"/>
  <c r="E56" i="31"/>
  <c r="E65" i="31" s="1"/>
  <c r="E55" i="31"/>
  <c r="E45" i="31"/>
  <c r="D45" i="31"/>
  <c r="E41" i="31"/>
  <c r="C45" i="31" s="1"/>
  <c r="F9" i="31"/>
  <c r="F32" i="31" s="1"/>
  <c r="F19" i="26"/>
  <c r="E63" i="26" s="1"/>
  <c r="F20" i="26" l="1"/>
  <c r="F43" i="26" s="1"/>
  <c r="E62" i="26"/>
  <c r="F42" i="31"/>
  <c r="H30" i="18" l="1"/>
  <c r="G30" i="18"/>
  <c r="C19" i="3"/>
  <c r="A47" i="18" s="1"/>
  <c r="A25" i="18" l="1"/>
  <c r="A22" i="18"/>
  <c r="C21" i="18" s="1"/>
  <c r="A23" i="18"/>
  <c r="A24" i="18"/>
  <c r="C23" i="18" s="1"/>
  <c r="A21" i="18"/>
  <c r="A16" i="18"/>
  <c r="A13" i="18"/>
  <c r="A14" i="18"/>
  <c r="A15" i="18"/>
  <c r="A12" i="18"/>
  <c r="B1" i="15" l="1"/>
  <c r="A1" i="3"/>
  <c r="H17" i="17"/>
  <c r="H15" i="17" s="1"/>
  <c r="B7" i="26" l="1"/>
  <c r="C21" i="15"/>
  <c r="C13" i="15"/>
  <c r="F13" i="15" s="1"/>
  <c r="C19" i="15"/>
  <c r="F19" i="15" s="1"/>
  <c r="C6" i="15"/>
  <c r="C12" i="15"/>
  <c r="F12" i="15" s="1"/>
  <c r="C17" i="15"/>
  <c r="F17" i="15" s="1"/>
  <c r="C3" i="15"/>
  <c r="F73" i="14"/>
  <c r="E83" i="14"/>
  <c r="E81" i="14"/>
  <c r="F62" i="14"/>
  <c r="F74" i="14" s="1"/>
  <c r="E132" i="14" s="1"/>
  <c r="F61" i="14"/>
  <c r="F9" i="14"/>
  <c r="F52" i="14" s="1"/>
  <c r="E20" i="3"/>
  <c r="B48" i="18" s="1"/>
  <c r="E21" i="3"/>
  <c r="B49" i="18" s="1"/>
  <c r="C22" i="3"/>
  <c r="A50" i="18" s="1"/>
  <c r="C23" i="3"/>
  <c r="A51" i="18" s="1"/>
  <c r="C24" i="3"/>
  <c r="A52" i="18" s="1"/>
  <c r="C20" i="3"/>
  <c r="A48" i="18" s="1"/>
  <c r="C21" i="3"/>
  <c r="A49" i="18" s="1"/>
  <c r="E22" i="3"/>
  <c r="B50" i="18" s="1"/>
  <c r="E23" i="3"/>
  <c r="B51" i="18" s="1"/>
  <c r="E24" i="3"/>
  <c r="B52" i="18" s="1"/>
  <c r="E30" i="3"/>
  <c r="B58" i="18" s="1"/>
  <c r="E29" i="3"/>
  <c r="B57" i="18" s="1"/>
  <c r="E28" i="3"/>
  <c r="B56" i="18" s="1"/>
  <c r="E27" i="3"/>
  <c r="B55" i="18" s="1"/>
  <c r="E26" i="3"/>
  <c r="B54" i="18" s="1"/>
  <c r="E25" i="3"/>
  <c r="B53" i="18" s="1"/>
  <c r="E19" i="3"/>
  <c r="B47" i="18" s="1"/>
  <c r="C30" i="3"/>
  <c r="A58" i="18" s="1"/>
  <c r="C29" i="3"/>
  <c r="A57" i="18" s="1"/>
  <c r="C28" i="3"/>
  <c r="A56" i="18" s="1"/>
  <c r="C27" i="3"/>
  <c r="A55" i="18" s="1"/>
  <c r="C26" i="3"/>
  <c r="A54" i="18" s="1"/>
  <c r="C25" i="3"/>
  <c r="A53" i="18" s="1"/>
  <c r="E24" i="26" l="1"/>
  <c r="F31" i="26" s="1"/>
  <c r="E13" i="31"/>
  <c r="D126" i="14"/>
  <c r="D57" i="14"/>
  <c r="D47" i="31"/>
  <c r="E115" i="14"/>
  <c r="E36" i="14"/>
  <c r="E47" i="26"/>
  <c r="E36" i="31"/>
  <c r="E131" i="14"/>
  <c r="F75" i="14"/>
  <c r="D147" i="14"/>
  <c r="E79" i="14"/>
  <c r="F86" i="14" s="1"/>
  <c r="E13" i="14"/>
  <c r="F20" i="14" s="1"/>
  <c r="F3" i="15"/>
  <c r="F32" i="14"/>
  <c r="C4" i="15"/>
  <c r="B2" i="18"/>
  <c r="E17" i="31" l="1"/>
  <c r="E15" i="31"/>
  <c r="C2" i="18"/>
  <c r="D64" i="18" s="1"/>
  <c r="C16" i="18"/>
  <c r="C25" i="18"/>
  <c r="C27" i="18" s="1"/>
  <c r="F111" i="14"/>
  <c r="F121" i="14" s="1"/>
  <c r="F20" i="31" l="1"/>
  <c r="D68" i="18"/>
  <c r="D75" i="18"/>
  <c r="C71" i="18"/>
  <c r="D76" i="18"/>
  <c r="C72" i="18"/>
  <c r="D71" i="18"/>
  <c r="D66" i="18"/>
  <c r="C65" i="18"/>
  <c r="C73" i="18"/>
  <c r="C67" i="18"/>
  <c r="D74" i="18"/>
  <c r="C66" i="18"/>
  <c r="D69" i="18"/>
  <c r="C75" i="18"/>
  <c r="E75" i="18" s="1"/>
  <c r="G30" i="35" s="1"/>
  <c r="D72" i="18"/>
  <c r="C69" i="18"/>
  <c r="D70" i="18"/>
  <c r="D73" i="18"/>
  <c r="C68" i="18"/>
  <c r="D67" i="18"/>
  <c r="C70" i="18"/>
  <c r="C74" i="18"/>
  <c r="C64" i="18"/>
  <c r="E64" i="18" s="1"/>
  <c r="G19" i="35" s="1"/>
  <c r="D65" i="18"/>
  <c r="D54" i="18"/>
  <c r="D53" i="18"/>
  <c r="D51" i="18"/>
  <c r="D48" i="18"/>
  <c r="C53" i="18"/>
  <c r="D58" i="18"/>
  <c r="D49" i="18"/>
  <c r="C50" i="18"/>
  <c r="D47" i="18"/>
  <c r="C47" i="18"/>
  <c r="C58" i="18"/>
  <c r="C48" i="18"/>
  <c r="C55" i="18"/>
  <c r="C57" i="18"/>
  <c r="C51" i="18"/>
  <c r="D50" i="18"/>
  <c r="C49" i="18"/>
  <c r="D55" i="18"/>
  <c r="D57" i="18"/>
  <c r="C52" i="18"/>
  <c r="D59" i="18"/>
  <c r="D52" i="18"/>
  <c r="C54" i="18"/>
  <c r="D56" i="18"/>
  <c r="C56" i="18"/>
  <c r="D39" i="18"/>
  <c r="D30" i="18"/>
  <c r="D32" i="18"/>
  <c r="D31" i="18"/>
  <c r="D40" i="18"/>
  <c r="D38" i="18"/>
  <c r="D41" i="18"/>
  <c r="D42" i="18"/>
  <c r="D33" i="18"/>
  <c r="D34" i="18"/>
  <c r="D35" i="18"/>
  <c r="D37" i="18"/>
  <c r="D36" i="18"/>
  <c r="C36" i="18"/>
  <c r="C33" i="18"/>
  <c r="C32" i="18"/>
  <c r="C38" i="18"/>
  <c r="C39" i="18"/>
  <c r="C40" i="18"/>
  <c r="C34" i="18"/>
  <c r="C31" i="18"/>
  <c r="C37" i="18"/>
  <c r="C30" i="18"/>
  <c r="C35" i="18"/>
  <c r="C41" i="18"/>
  <c r="C14" i="18"/>
  <c r="C12" i="18"/>
  <c r="E68" i="18" l="1"/>
  <c r="G23" i="35" s="1"/>
  <c r="E69" i="18"/>
  <c r="G24" i="35" s="1"/>
  <c r="E66" i="18"/>
  <c r="G21" i="35" s="1"/>
  <c r="E71" i="18"/>
  <c r="G26" i="35" s="1"/>
  <c r="E67" i="18"/>
  <c r="G22" i="35" s="1"/>
  <c r="E65" i="18"/>
  <c r="G20" i="35" s="1"/>
  <c r="E72" i="18"/>
  <c r="G27" i="35" s="1"/>
  <c r="E70" i="18"/>
  <c r="G25" i="35" s="1"/>
  <c r="E73" i="18"/>
  <c r="G28" i="35" s="1"/>
  <c r="E74" i="18"/>
  <c r="G29" i="35" s="1"/>
  <c r="E48" i="18"/>
  <c r="G20" i="3" s="1"/>
  <c r="E40" i="18"/>
  <c r="E34" i="18"/>
  <c r="E58" i="18"/>
  <c r="G30" i="3" s="1"/>
  <c r="E36" i="18"/>
  <c r="E32" i="18"/>
  <c r="E49" i="18"/>
  <c r="G21" i="3" s="1"/>
  <c r="E37" i="18"/>
  <c r="E54" i="18"/>
  <c r="G26" i="3" s="1"/>
  <c r="E53" i="18"/>
  <c r="G25" i="3" s="1"/>
  <c r="E35" i="18"/>
  <c r="E30" i="18"/>
  <c r="E51" i="18"/>
  <c r="G23" i="3" s="1"/>
  <c r="E31" i="18"/>
  <c r="E47" i="18"/>
  <c r="G19" i="3" s="1"/>
  <c r="E33" i="18"/>
  <c r="E56" i="18"/>
  <c r="G28" i="3" s="1"/>
  <c r="E50" i="18"/>
  <c r="G22" i="3" s="1"/>
  <c r="E57" i="18"/>
  <c r="G29" i="3" s="1"/>
  <c r="E55" i="18"/>
  <c r="G27" i="3" s="1"/>
  <c r="E52" i="18"/>
  <c r="G24" i="3" s="1"/>
  <c r="E39" i="18"/>
  <c r="E41" i="18"/>
  <c r="E38" i="18"/>
  <c r="C18" i="18"/>
  <c r="G33" i="35" l="1"/>
  <c r="F103" i="14" s="1"/>
  <c r="G22" i="33"/>
  <c r="G20" i="33"/>
  <c r="G25" i="33"/>
  <c r="G26" i="33"/>
  <c r="G28" i="33"/>
  <c r="G21" i="33"/>
  <c r="G24" i="33"/>
  <c r="G27" i="33"/>
  <c r="G23" i="33"/>
  <c r="G30" i="33"/>
  <c r="G29" i="33"/>
  <c r="G33" i="3"/>
  <c r="G19" i="33"/>
  <c r="G33" i="33" l="1"/>
  <c r="F38" i="26"/>
  <c r="F44" i="26" s="1"/>
  <c r="F48" i="26" s="1"/>
  <c r="F101" i="14"/>
  <c r="F28" i="31"/>
  <c r="F39" i="26" l="1"/>
  <c r="F104" i="14"/>
  <c r="F107" i="14" s="1"/>
  <c r="F27" i="14"/>
  <c r="F33" i="14" s="1"/>
  <c r="F28" i="14"/>
  <c r="F45" i="26"/>
  <c r="D47" i="26" s="1"/>
  <c r="F27" i="31"/>
  <c r="F33" i="31" s="1"/>
  <c r="F37" i="31" s="1"/>
  <c r="F106" i="14" l="1"/>
  <c r="F112" i="14" s="1"/>
  <c r="F116" i="14" s="1"/>
  <c r="F34" i="31"/>
  <c r="F36" i="31" s="1"/>
  <c r="F38" i="31" s="1"/>
  <c r="F43" i="31" s="1"/>
  <c r="F44" i="31" s="1"/>
  <c r="F47" i="26"/>
  <c r="F49" i="26" s="1"/>
  <c r="E64" i="26" s="1"/>
  <c r="E65" i="26" s="1"/>
  <c r="F37" i="14"/>
  <c r="F34" i="14"/>
  <c r="F113" i="14" l="1"/>
  <c r="D115" i="14" s="1"/>
  <c r="E57" i="31"/>
  <c r="E66" i="31" s="1"/>
  <c r="D36" i="31"/>
  <c r="D73" i="26"/>
  <c r="D74" i="26" s="1"/>
  <c r="F36" i="14"/>
  <c r="F38" i="14" s="1"/>
  <c r="D36" i="14"/>
  <c r="F45" i="31"/>
  <c r="E47" i="31" s="1"/>
  <c r="F47" i="31" s="1"/>
  <c r="F115" i="14" l="1"/>
  <c r="F117" i="14" s="1"/>
  <c r="F122" i="14" s="1"/>
  <c r="F123" i="14" s="1"/>
  <c r="F124" i="14" s="1"/>
  <c r="F126" i="14" s="1"/>
  <c r="D136" i="14" s="1"/>
  <c r="E58" i="31"/>
  <c r="E64" i="31" s="1"/>
  <c r="F53" i="14"/>
  <c r="F54" i="14" s="1"/>
  <c r="F55" i="14" s="1"/>
  <c r="F63" i="14"/>
  <c r="F64" i="14" s="1"/>
  <c r="E126" i="14" l="1"/>
  <c r="E133" i="14"/>
  <c r="E134" i="14" s="1"/>
  <c r="E57" i="14"/>
  <c r="F57" i="14"/>
  <c r="D150" i="14" l="1"/>
  <c r="D151" i="14" s="1"/>
  <c r="D66" i="14"/>
  <c r="E14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 Dalen</author>
    <author>Jaap van Dalen</author>
  </authors>
  <commentList>
    <comment ref="F7" authorId="0" shapeId="0" xr:uid="{B5BB7350-2379-4E0C-A92F-D597FA618325}">
      <text>
        <r>
          <rPr>
            <sz val="8"/>
            <color indexed="81"/>
            <rFont val="Tahoma"/>
            <family val="2"/>
          </rPr>
          <t xml:space="preserve">Let op:
Als de verstrekte bijstand </t>
        </r>
        <r>
          <rPr>
            <u/>
            <sz val="8"/>
            <color indexed="81"/>
            <rFont val="Tahoma"/>
            <family val="2"/>
          </rPr>
          <t>uitsluitend</t>
        </r>
        <r>
          <rPr>
            <sz val="8"/>
            <color indexed="81"/>
            <rFont val="Tahoma"/>
            <family val="2"/>
          </rPr>
          <t xml:space="preserve"> bestaat uit bijstand over een periode uit een voorgaand kalenderjaar hoeft geen bijdrage Zvw afgedragen te worden. 
Kies dan het rekenblad: geen jog&lt;AOW lft geen ln tijdvak. 
b.v. Het vakantiegeld van een in december 2018 beëindigde uitkering wordt uitbetaald in 2019</t>
        </r>
      </text>
    </comment>
    <comment ref="D13" authorId="0" shapeId="0" xr:uid="{ECABB859-A5E7-41D3-A771-3CF40B33F4B4}">
      <text>
        <r>
          <rPr>
            <sz val="8"/>
            <color indexed="81"/>
            <rFont val="Tahoma"/>
            <family val="2"/>
          </rPr>
          <t xml:space="preserve">Let op:
Wanneer een periode uit een voorgaand jaar betaald is in dit jaar, telt deze niet mee voor het bepalen van de loonheffingskorting.
b.v. november en december 2018 betaald in 2019:
Wel meetellen bij het bedrag van de verstrekte netto bijstand (F6) maar </t>
        </r>
        <r>
          <rPr>
            <u/>
            <sz val="8"/>
            <color indexed="81"/>
            <rFont val="Tahoma"/>
            <family val="2"/>
          </rPr>
          <t>niet</t>
        </r>
        <r>
          <rPr>
            <sz val="8"/>
            <color indexed="81"/>
            <rFont val="Tahoma"/>
            <family val="2"/>
          </rPr>
          <t xml:space="preserve"> meenemen bij de berekening van de beschikbare lhk.(D12 t/m D17)
Daarentegen:
Wanneer bekend is dat een periode uit dit jaar betaald wordt/is in een volgend jaar mag deze wèl meegenomen worden bij de vaststelling van de loonheffingskorting.
b.v. november en december 2019 zijn geblokkeerd en worden betaald in januari 2020:
</t>
        </r>
        <r>
          <rPr>
            <u/>
            <sz val="8"/>
            <color indexed="81"/>
            <rFont val="Tahoma"/>
            <family val="2"/>
          </rPr>
          <t>Niet</t>
        </r>
        <r>
          <rPr>
            <sz val="8"/>
            <color indexed="81"/>
            <rFont val="Tahoma"/>
            <family val="2"/>
          </rPr>
          <t xml:space="preserve"> meetellen bij de verstrekte netto bijstand (F6) maar </t>
        </r>
        <r>
          <rPr>
            <u/>
            <sz val="8"/>
            <color indexed="81"/>
            <rFont val="Tahoma"/>
            <family val="2"/>
          </rPr>
          <t>wel</t>
        </r>
        <r>
          <rPr>
            <sz val="8"/>
            <color indexed="81"/>
            <rFont val="Tahoma"/>
            <family val="2"/>
          </rPr>
          <t xml:space="preserve"> meenemen in de periode waarover de loonheffingskorting gebruikt mag worden. (D12 t/m D17)
Bij het jaarwerk over 2019 moet dan wel vaststaan dat er in 2020 een betaling over 2019 plaatsvindt.</t>
        </r>
      </text>
    </comment>
    <comment ref="F25" authorId="1" shapeId="0" xr:uid="{7E6F25F9-382A-4A1F-B699-D61A94B77083}">
      <text>
        <r>
          <rPr>
            <b/>
            <sz val="8"/>
            <color indexed="81"/>
            <rFont val="Tahoma"/>
            <family val="2"/>
          </rPr>
          <t>wanneer er geen inkomsten zijn over de bijstandsperiode vul in: 0.
Anders: neem het totaal "P" over van werkblad
elders gebr. Ahk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Jaap van Dalen</author>
  </authors>
  <commentList>
    <comment ref="F36" authorId="0" shapeId="0" xr:uid="{E8BACC2B-54BB-414F-8A9A-CBE6D6FEAD7B}">
      <text>
        <r>
          <rPr>
            <b/>
            <sz val="8"/>
            <color indexed="81"/>
            <rFont val="Tahoma"/>
            <family val="2"/>
          </rPr>
          <t xml:space="preserve">wanneer geen inkomsten over de bijstandsperiode vul in 0, anders: 
neem over van werkblad elders gebr. Ahk
Als het om een inkomstenvordering gaat
dus de over die inkomsten gebruikte lhk hier inbrengen. 
Als er in de oorspronkelijke berekening al rekening was gehouden met inkomsten dan hier de som inbrengen van die inkomsten en de "nieuwe" inkomsten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van Dalen</author>
    <author>Jaap van Dalen</author>
  </authors>
  <commentList>
    <comment ref="F7" authorId="0" shapeId="0" xr:uid="{00000000-0006-0000-0600-000001000000}">
      <text>
        <r>
          <rPr>
            <sz val="8"/>
            <color indexed="81"/>
            <rFont val="Tahoma"/>
            <family val="2"/>
          </rPr>
          <t xml:space="preserve">Let op:
Als de in 2017 verstrekte bijstand </t>
        </r>
        <r>
          <rPr>
            <u/>
            <sz val="8"/>
            <color indexed="81"/>
            <rFont val="Tahoma"/>
            <family val="2"/>
          </rPr>
          <t>uitsluitend</t>
        </r>
        <r>
          <rPr>
            <sz val="8"/>
            <color indexed="81"/>
            <rFont val="Tahoma"/>
            <family val="2"/>
          </rPr>
          <t xml:space="preserve"> bestaat uit bijstand over een periode uit een voorgaand kalenderjaar hoeft geen bijdrage Zvw afgedragen te worden. 
Kies dan het rekenblad: geen Zvw-bijdrage. 
b.v. Het vakantiegeld van een in december 2016 beëindigde uitkering wordt uitbetaald in 2017</t>
        </r>
      </text>
    </comment>
    <comment ref="D13" authorId="0" shapeId="0" xr:uid="{00000000-0006-0000-0600-000002000000}">
      <text>
        <r>
          <rPr>
            <sz val="8"/>
            <color indexed="81"/>
            <rFont val="Tahoma"/>
            <family val="2"/>
          </rPr>
          <t xml:space="preserve">Let op:
Wanneer een periode uit een voorgaand jaar betaald is in dit jaar, telt deze niet mee voor het bepalen van de loonheffingskorting.
b.v. november en december 2016 betaald in 2017:
Wel meetellen bij het bedrag van de verstrekte netto bijstand (F6) maar </t>
        </r>
        <r>
          <rPr>
            <u/>
            <sz val="8"/>
            <color indexed="81"/>
            <rFont val="Tahoma"/>
            <family val="2"/>
          </rPr>
          <t>niet</t>
        </r>
        <r>
          <rPr>
            <sz val="8"/>
            <color indexed="81"/>
            <rFont val="Tahoma"/>
            <family val="2"/>
          </rPr>
          <t xml:space="preserve"> meenemen bij de berekening van de beschikbare lhk.(D12 t/m D17)
Daarentegen:
Wanneer bekend is dat een periode uit dit jaar betaald wordt/is in een volgend jaar mag deze wèl meegenomen worden bij de vaststelling van de loonheffingskorting.
b.v. november en december 2017 waren geblokkeerd en worden betaald in januari 2018:
</t>
        </r>
        <r>
          <rPr>
            <u/>
            <sz val="8"/>
            <color indexed="81"/>
            <rFont val="Tahoma"/>
            <family val="2"/>
          </rPr>
          <t>Niet</t>
        </r>
        <r>
          <rPr>
            <sz val="8"/>
            <color indexed="81"/>
            <rFont val="Tahoma"/>
            <family val="2"/>
          </rPr>
          <t xml:space="preserve"> meetellen bij de verstrekte netto bijstand (F6) maar </t>
        </r>
        <r>
          <rPr>
            <u/>
            <sz val="8"/>
            <color indexed="81"/>
            <rFont val="Tahoma"/>
            <family val="2"/>
          </rPr>
          <t>wel</t>
        </r>
        <r>
          <rPr>
            <sz val="8"/>
            <color indexed="81"/>
            <rFont val="Tahoma"/>
            <family val="2"/>
          </rPr>
          <t xml:space="preserve"> meenemen in de periode waarover de loonheffingskorting gebruikt mag worden. (D12 t/m D17)
Bij het jaarwerk in januari 2018 (over 2017) moet dan wel vaststaan dat er in 2018 een betaling over 2017 plaatsvindt.</t>
        </r>
      </text>
    </comment>
    <comment ref="F25" authorId="1" shapeId="0" xr:uid="{00000000-0006-0000-0600-000003000000}">
      <text>
        <r>
          <rPr>
            <b/>
            <sz val="8"/>
            <color indexed="81"/>
            <rFont val="Tahoma"/>
            <family val="2"/>
          </rPr>
          <t>wanneer er geen inkomsten zijn over de bijstandsperiode vul in: 0.
Anders: neem het totaal "P" over van werkblad
elders gebr. Ahk</t>
        </r>
      </text>
    </comment>
    <comment ref="F103" authorId="1" shapeId="0" xr:uid="{00000000-0006-0000-0600-000004000000}">
      <text>
        <r>
          <rPr>
            <b/>
            <sz val="8"/>
            <color indexed="81"/>
            <rFont val="Tahoma"/>
            <family val="2"/>
          </rPr>
          <t xml:space="preserve">wanneer geen inkomsten over de bijstandsperiode vul in 0, anders: 
neem over van werkblad elders gebr. Ahk
Als het om een inkomstenvordering gaat
dus de over die inkomsten gebruikte lhk hier inbrengen. 
Als er in de oorspronkelijke berekening al rekening was gehouden met inkomsten dan hier de som inbrengen van die inkomsten en de "nieuwe" inkomsten
</t>
        </r>
      </text>
    </comment>
  </commentList>
</comments>
</file>

<file path=xl/sharedStrings.xml><?xml version="1.0" encoding="utf-8"?>
<sst xmlns="http://schemas.openxmlformats.org/spreadsheetml/2006/main" count="340" uniqueCount="150">
  <si>
    <t>Naam:</t>
  </si>
  <si>
    <t>Totaal te belasten bijstand</t>
  </si>
  <si>
    <t>berekening beschikbare loonheffingskorting</t>
  </si>
  <si>
    <t>aantal dagen waarover betaald is</t>
  </si>
  <si>
    <t>totaal aantal dagen van die maand</t>
  </si>
  <si>
    <t>L</t>
  </si>
  <si>
    <t>P</t>
  </si>
  <si>
    <t>Q</t>
  </si>
  <si>
    <t>( werkelijk benutte loonheffingskorting</t>
  </si>
  <si>
    <t>)</t>
  </si>
  <si>
    <t>vrij tekstvak</t>
  </si>
  <si>
    <t xml:space="preserve"> </t>
  </si>
  <si>
    <t xml:space="preserve">Naam: </t>
  </si>
  <si>
    <t>Soort inkomsten:</t>
  </si>
  <si>
    <r>
      <t xml:space="preserve">Breng in de kolom arbeid het belastbaar inkomen </t>
    </r>
    <r>
      <rPr>
        <i/>
        <sz val="10"/>
        <rFont val="Arial"/>
        <family val="2"/>
      </rPr>
      <t xml:space="preserve">per maand </t>
    </r>
    <r>
      <rPr>
        <sz val="10"/>
        <rFont val="Arial"/>
        <family val="2"/>
      </rPr>
      <t xml:space="preserve">uit tegenwoordige arbeid in (arbeid in </t>
    </r>
  </si>
  <si>
    <t>loondienst of daarmee gelijkgesteld - witte tabel van toepassing)</t>
  </si>
  <si>
    <t>Belastbaar ink. per maand</t>
  </si>
  <si>
    <t>arbeid</t>
  </si>
  <si>
    <t>afronding</t>
  </si>
  <si>
    <t>uitkering</t>
  </si>
  <si>
    <t>maand 1</t>
  </si>
  <si>
    <t>maand 2</t>
  </si>
  <si>
    <t>maand 3</t>
  </si>
  <si>
    <t>maand 4</t>
  </si>
  <si>
    <t>maand 5</t>
  </si>
  <si>
    <t>maand 6</t>
  </si>
  <si>
    <t>maand 7</t>
  </si>
  <si>
    <t>maand 8</t>
  </si>
  <si>
    <t>maand 9</t>
  </si>
  <si>
    <t>maand 10</t>
  </si>
  <si>
    <t>maand 11</t>
  </si>
  <si>
    <t>maand 12</t>
  </si>
  <si>
    <t>Verbruikte Algemene heffingskorting (overnemen op werkblad)</t>
  </si>
  <si>
    <t>K</t>
  </si>
  <si>
    <t xml:space="preserve">Bedrag van de netto vordering </t>
  </si>
  <si>
    <t>Nieuwe gegevens na verwerking vordering</t>
  </si>
  <si>
    <t>Specificatie bruto vordering</t>
  </si>
  <si>
    <t>Netto vordering</t>
  </si>
  <si>
    <t>Loonheffing</t>
  </si>
  <si>
    <t>Bruto vordering</t>
  </si>
  <si>
    <t>BSN:</t>
  </si>
  <si>
    <t>(invullen als over de oorspronkelijke uitkering inkomsten zijn gekort)</t>
  </si>
  <si>
    <t>in de oorspronkelijke bijstandsperiode</t>
  </si>
  <si>
    <t>(werkelijk benutte loonheffingskorting)</t>
  </si>
  <si>
    <t>aantal dagen waarover betaald wordt</t>
  </si>
  <si>
    <t>in de oorspronkelijke berekening over de vorderingsperiode</t>
  </si>
  <si>
    <t>Totaal van de elders benutte Ahk</t>
  </si>
  <si>
    <t xml:space="preserve">BSN: </t>
  </si>
  <si>
    <t>loonheffingskorting</t>
  </si>
  <si>
    <t>alleenstaande</t>
  </si>
  <si>
    <t>gehuwd pp</t>
  </si>
  <si>
    <t>Lh percentage 1e schijf</t>
  </si>
  <si>
    <t>percentage na arbeidsk</t>
  </si>
  <si>
    <t xml:space="preserve">bruteringspercentage </t>
  </si>
  <si>
    <t>met inhouding Zvw</t>
  </si>
  <si>
    <t>bruteringspercentage</t>
  </si>
  <si>
    <t>Zvw werkgever</t>
  </si>
  <si>
    <t>Bruteringsfactor Zvw</t>
  </si>
  <si>
    <t>Bijdrage Zvw</t>
  </si>
  <si>
    <t>Werkgeversheffing Zvw</t>
  </si>
  <si>
    <t>Max premieloon</t>
  </si>
  <si>
    <t>Jaar</t>
  </si>
  <si>
    <t>AHK</t>
  </si>
  <si>
    <t>LH 1e schijf</t>
  </si>
  <si>
    <t>ZVW 
Werkgever</t>
  </si>
  <si>
    <t>Bruterings
percentage</t>
  </si>
  <si>
    <t>Geef jaar in:</t>
  </si>
  <si>
    <t>JAAR</t>
  </si>
  <si>
    <t>Berekening jaaropgave en bruto bijstand</t>
  </si>
  <si>
    <t>Berekening  vanaf 2011</t>
  </si>
  <si>
    <t>Jaaropgave</t>
  </si>
  <si>
    <t>Vordering direct bruteren</t>
  </si>
  <si>
    <t>Vordering direct bruteren (herberekenen)</t>
  </si>
  <si>
    <t>Percentage
na arb. korting</t>
  </si>
  <si>
    <t>Berekenen elders gebruikte AHK</t>
  </si>
  <si>
    <t>Percentages</t>
  </si>
  <si>
    <t>in de bijstandsperiode</t>
  </si>
  <si>
    <t xml:space="preserve">In aanmerking genomen partner alimentatie </t>
  </si>
  <si>
    <t xml:space="preserve">Fiscaal loon </t>
  </si>
  <si>
    <t xml:space="preserve">Loonheffing </t>
  </si>
  <si>
    <t>Verstrekte netto bijstand</t>
  </si>
  <si>
    <t>Aantal hele maanden bijstand</t>
  </si>
  <si>
    <t>Bij betaling over gedeelten van maanden:</t>
  </si>
  <si>
    <t>Maximale loonheffingskorting over de bijstandsperiode</t>
  </si>
  <si>
    <t>Elders benutte algemene heffingskorting</t>
  </si>
  <si>
    <t>De bij andere inhoudingsplichtigen verbruikte algemene heffingskorting</t>
  </si>
  <si>
    <t>Beschikbare lhk voor de berekening van de loonheffing over de bijstand</t>
  </si>
  <si>
    <t>Loonheffing over de bijstand</t>
  </si>
  <si>
    <t>Netto bijstand</t>
  </si>
  <si>
    <t>Af: het restbedrag loonheffingskorting</t>
  </si>
  <si>
    <t>Te bruteren bedrag</t>
  </si>
  <si>
    <t xml:space="preserve">Berekende loonheffing </t>
  </si>
  <si>
    <t>Af: de loonheffingskorting</t>
  </si>
  <si>
    <t>Berekening inkomensafhankelijke bijdrage Zvw</t>
  </si>
  <si>
    <t>De loonheffing over deze bijstand</t>
  </si>
  <si>
    <t>Premieloon Zvw</t>
  </si>
  <si>
    <t>Max. premieloon uitkeringsperiode</t>
  </si>
  <si>
    <t>Inkomensafhankelijke bijdrage Zvw</t>
  </si>
  <si>
    <t>Berekening jaaropgave</t>
  </si>
  <si>
    <t>Belaste partneralimentatie</t>
  </si>
  <si>
    <t>Loonheffing over bijstand en alimentatie</t>
  </si>
  <si>
    <t>Totaal belastbaar</t>
  </si>
  <si>
    <t>Jaaropgave cliënt</t>
  </si>
  <si>
    <t>Belastbaar loon</t>
  </si>
  <si>
    <t>Vrij tekstvak</t>
  </si>
  <si>
    <t xml:space="preserve">Als de vordering partneralimentatie betreft, bedrag hier inbrengen </t>
  </si>
  <si>
    <t xml:space="preserve">Gecorrigeerde netto bijstand </t>
  </si>
  <si>
    <t>(Gecorrigeerde) partneralimentatie</t>
  </si>
  <si>
    <t>Te belasten bedrag na correctie</t>
  </si>
  <si>
    <t>Loonheffingskorting over de bijstandsperiode</t>
  </si>
  <si>
    <t>Berekening "nieuwe" jaaropgave</t>
  </si>
  <si>
    <t>Netto bijstand waarover loonheffing en premie Zvw verschuldigd is</t>
  </si>
  <si>
    <t>maximaal premieloon per jaar / per maand</t>
  </si>
  <si>
    <t>De oorspronkelijk verstrekte netto bijstand over de periode van de vordering</t>
  </si>
  <si>
    <r>
      <t xml:space="preserve">In aanmerking genomen </t>
    </r>
    <r>
      <rPr>
        <i/>
        <u/>
        <sz val="12"/>
        <rFont val="Calibri"/>
        <family val="2"/>
        <scheme val="minor"/>
      </rPr>
      <t>partner</t>
    </r>
    <r>
      <rPr>
        <sz val="12"/>
        <rFont val="Calibri"/>
        <family val="2"/>
        <scheme val="minor"/>
      </rPr>
      <t>alimentatie</t>
    </r>
  </si>
  <si>
    <t>Berekening beschikbare loonheffingskorting</t>
  </si>
  <si>
    <t xml:space="preserve">Elders benutte algemene heffingskorting </t>
  </si>
  <si>
    <t>Nieuw aantal hele maanden bijstand</t>
  </si>
  <si>
    <t>Bij betaling over gedeelten van maanden nieuwe situatie:</t>
  </si>
  <si>
    <t>Bij een inkomstenvordering: 
De benutte Ahk over de inkomsten die gevorderd worden</t>
  </si>
  <si>
    <t>( Werkelijk benutte loonheffingskorting</t>
  </si>
  <si>
    <t>Berekening jaaropgave rekening houdend met de vordering</t>
  </si>
  <si>
    <t>(waarvan belaste alimentatie)</t>
  </si>
  <si>
    <t>Gemeente:</t>
  </si>
  <si>
    <t>Percentages brutering en belasting in de jaren:</t>
  </si>
  <si>
    <t>Max.
Premieloon
Zvw</t>
  </si>
  <si>
    <t>Vordering</t>
  </si>
  <si>
    <r>
      <t xml:space="preserve">Breng in de kolom uitkering het belastbaar ink. </t>
    </r>
    <r>
      <rPr>
        <i/>
        <sz val="10"/>
        <rFont val="Arial"/>
        <family val="2"/>
      </rPr>
      <t>per maand</t>
    </r>
    <r>
      <rPr>
        <sz val="10"/>
        <rFont val="Arial"/>
        <family val="2"/>
      </rPr>
      <t xml:space="preserve"> uit vroegere arbeid in (uitkeringen - groene</t>
    </r>
  </si>
  <si>
    <t xml:space="preserve">tabel) n.b. per maand kan slechts één inkomstenbron worden ingebracht (slechts bij één </t>
  </si>
  <si>
    <t xml:space="preserve">inhoudingsplichtige lhk). Als de kolom arbeid is ingevuld, kan de kolom uitkering wel ingevuld worden, </t>
  </si>
  <si>
    <t>maar vindt berekening plaats op de kolom arbeid.</t>
  </si>
  <si>
    <t>Voor personen jonger dan de 
Pensioengerechtigde leeftijd.</t>
  </si>
  <si>
    <t>t/m</t>
  </si>
  <si>
    <t>BSN</t>
  </si>
  <si>
    <t>Naam</t>
  </si>
  <si>
    <t>over de inkomsten van de vorderingsperiode.</t>
  </si>
  <si>
    <t>Inkomsten over de vorderingsperiode</t>
  </si>
  <si>
    <t xml:space="preserve">
De benutte Ahk over de inkomsten die gevorderd worden</t>
  </si>
  <si>
    <t>© Wyzer</t>
  </si>
  <si>
    <t>Nummer</t>
  </si>
  <si>
    <r>
      <t>Berekening beschikbare loonheffingskorting</t>
    </r>
    <r>
      <rPr>
        <b/>
        <sz val="12"/>
        <color rgb="FF87418C"/>
        <rFont val="Calibri"/>
        <family val="2"/>
        <scheme val="minor"/>
      </rPr>
      <t xml:space="preserve"> </t>
    </r>
    <r>
      <rPr>
        <b/>
        <i/>
        <sz val="12"/>
        <color rgb="FF87418C"/>
        <rFont val="Calibri"/>
        <family val="2"/>
        <scheme val="minor"/>
      </rPr>
      <t>(corrigeren bij normvordering)</t>
    </r>
  </si>
  <si>
    <t xml:space="preserve">© Wyzer </t>
  </si>
  <si>
    <r>
      <t xml:space="preserve">Breng in de kolom arbeid het belastbaar inkomen </t>
    </r>
    <r>
      <rPr>
        <i/>
        <sz val="10"/>
        <color rgb="FF002060"/>
        <rFont val="Arial"/>
        <family val="2"/>
      </rPr>
      <t xml:space="preserve">per maand </t>
    </r>
    <r>
      <rPr>
        <sz val="10"/>
        <color rgb="FF002060"/>
        <rFont val="Arial"/>
        <family val="2"/>
      </rPr>
      <t xml:space="preserve">uit tegenwoordige arbeid in (arbeid in </t>
    </r>
  </si>
  <si>
    <r>
      <t xml:space="preserve">Breng in de kolom uitkering het belastbaar ink. </t>
    </r>
    <r>
      <rPr>
        <i/>
        <sz val="10"/>
        <color rgb="FF002060"/>
        <rFont val="Arial"/>
        <family val="2"/>
      </rPr>
      <t>per maand</t>
    </r>
    <r>
      <rPr>
        <sz val="10"/>
        <color rgb="FF002060"/>
        <rFont val="Arial"/>
        <family val="2"/>
      </rPr>
      <t xml:space="preserve"> uit vroegere arbeid in (uitkeringen - groene</t>
    </r>
  </si>
  <si>
    <r>
      <t xml:space="preserve">in aanmerking genomen </t>
    </r>
    <r>
      <rPr>
        <i/>
        <u/>
        <sz val="12"/>
        <color rgb="FF002060"/>
        <rFont val="Calibri"/>
        <family val="2"/>
        <scheme val="minor"/>
      </rPr>
      <t>partner</t>
    </r>
    <r>
      <rPr>
        <sz val="12"/>
        <color rgb="FF002060"/>
        <rFont val="Calibri"/>
        <family val="2"/>
        <scheme val="minor"/>
      </rPr>
      <t>alimentatie</t>
    </r>
  </si>
  <si>
    <r>
      <t xml:space="preserve">Berekening beschikbare loonheffingskorting </t>
    </r>
    <r>
      <rPr>
        <b/>
        <i/>
        <sz val="12"/>
        <color rgb="FF87418C"/>
        <rFont val="Calibri"/>
        <family val="2"/>
        <scheme val="minor"/>
      </rPr>
      <t>(corrigeren bij normvordering)</t>
    </r>
  </si>
  <si>
    <r>
      <t xml:space="preserve">Elders benutte algemene heffingskorting </t>
    </r>
    <r>
      <rPr>
        <b/>
        <i/>
        <sz val="12"/>
        <color rgb="FF87418C"/>
        <rFont val="Calibri"/>
        <family val="2"/>
        <scheme val="minor"/>
      </rPr>
      <t>(corrigeren bij inkomstenvordering)</t>
    </r>
  </si>
  <si>
    <t>© Wyzer academie</t>
  </si>
  <si>
    <r>
      <t xml:space="preserve">Elders benutte algemene heffingskorting </t>
    </r>
    <r>
      <rPr>
        <b/>
        <i/>
        <sz val="12"/>
        <color theme="0"/>
        <rFont val="Calibri"/>
        <family val="2"/>
        <scheme val="minor"/>
      </rPr>
      <t>(corrigeren bij inkomstenvordering)</t>
    </r>
  </si>
  <si>
    <r>
      <t xml:space="preserve">Dit blad alleen gebruiken bij </t>
    </r>
    <r>
      <rPr>
        <b/>
        <sz val="10"/>
        <color theme="0"/>
        <rFont val="Arial"/>
        <family val="2"/>
      </rPr>
      <t>VORDERING DIRECT BRUTEREN</t>
    </r>
    <r>
      <rPr>
        <sz val="10"/>
        <color theme="0"/>
        <rFont val="Arial"/>
        <family val="2"/>
      </rPr>
      <t xml:space="preserve"> om de AHK die gebruikt 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</si>
</sst>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quot;€&quot;\ * #,##0.00_ ;_ &quot;€&quot;\ * \-#,##0.00_ ;_ &quot;€&quot;\ * &quot;-&quot;??_ ;_ @_ "/>
    <numFmt numFmtId="43" formatCode="_ * #,##0.00_ ;_ * \-#,##0.00_ ;_ * &quot;-&quot;??_ ;_ @_ "/>
    <numFmt numFmtId="164" formatCode="_-&quot;€&quot;\ * #,##0.00_-;_-&quot;€&quot;\ * #,##0.00\-;_-&quot;€&quot;\ * &quot;-&quot;??_-;_-@_-"/>
    <numFmt numFmtId="165" formatCode="_-* #,##0.00_-;_-* #,##0.00\-;_-* &quot;-&quot;??_-;_-@_-"/>
    <numFmt numFmtId="166" formatCode="_-&quot;fl&quot;\ * #,##0.00_-;_-&quot;fl&quot;\ * #,##0.00\-;_-&quot;fl&quot;\ * &quot;-&quot;??_-;_-@_-"/>
    <numFmt numFmtId="167" formatCode="0.000%"/>
    <numFmt numFmtId="168" formatCode="#,##0_ ;\-#,##0\ "/>
    <numFmt numFmtId="169" formatCode="0_ ;\-0\ "/>
  </numFmts>
  <fonts count="62" x14ac:knownFonts="1">
    <font>
      <sz val="11"/>
      <color theme="1"/>
      <name val="Calibri"/>
      <family val="2"/>
      <scheme val="minor"/>
    </font>
    <font>
      <sz val="11"/>
      <color indexed="8"/>
      <name val="Calibri"/>
      <family val="2"/>
    </font>
    <font>
      <b/>
      <sz val="10"/>
      <name val="Arial"/>
      <family val="2"/>
    </font>
    <font>
      <sz val="10"/>
      <name val="Arial"/>
      <family val="2"/>
    </font>
    <font>
      <sz val="8"/>
      <color indexed="81"/>
      <name val="Tahoma"/>
      <family val="2"/>
    </font>
    <font>
      <u/>
      <sz val="8"/>
      <color indexed="81"/>
      <name val="Tahoma"/>
      <family val="2"/>
    </font>
    <font>
      <b/>
      <sz val="8"/>
      <color indexed="81"/>
      <name val="Tahoma"/>
      <family val="2"/>
    </font>
    <font>
      <sz val="10"/>
      <color indexed="8"/>
      <name val="Arial"/>
      <family val="2"/>
    </font>
    <font>
      <sz val="8"/>
      <name val="Calibri"/>
      <family val="2"/>
    </font>
    <font>
      <sz val="10"/>
      <color indexed="41"/>
      <name val="Arial"/>
      <family val="2"/>
    </font>
    <font>
      <i/>
      <sz val="10"/>
      <name val="Arial"/>
      <family val="2"/>
    </font>
    <font>
      <sz val="10"/>
      <color indexed="10"/>
      <name val="Arial"/>
      <family val="2"/>
    </font>
    <font>
      <sz val="8"/>
      <name val="Arial"/>
      <family val="2"/>
    </font>
    <font>
      <sz val="11"/>
      <name val="Calibri"/>
      <family val="2"/>
    </font>
    <font>
      <sz val="11"/>
      <color indexed="16"/>
      <name val="Calibri"/>
      <family val="2"/>
    </font>
    <font>
      <sz val="10"/>
      <color theme="1"/>
      <name val="Arial"/>
      <family val="2"/>
    </font>
    <font>
      <sz val="10"/>
      <color rgb="FFC00000"/>
      <name val="Arial"/>
      <family val="2"/>
    </font>
    <font>
      <sz val="11"/>
      <color theme="0"/>
      <name val="Calibri"/>
      <family val="2"/>
      <scheme val="minor"/>
    </font>
    <font>
      <sz val="8"/>
      <color indexed="8"/>
      <name val="Calibri"/>
      <family val="2"/>
      <scheme val="minor"/>
    </font>
    <font>
      <sz val="10"/>
      <color indexed="56"/>
      <name val="Calibri"/>
      <family val="2"/>
      <scheme val="minor"/>
    </font>
    <font>
      <b/>
      <sz val="12"/>
      <name val="Calibri"/>
      <family val="2"/>
      <scheme val="minor"/>
    </font>
    <font>
      <sz val="12"/>
      <name val="Calibri"/>
      <family val="2"/>
      <scheme val="minor"/>
    </font>
    <font>
      <sz val="12"/>
      <color indexed="9"/>
      <name val="Calibri"/>
      <family val="2"/>
      <scheme val="minor"/>
    </font>
    <font>
      <i/>
      <u/>
      <sz val="12"/>
      <name val="Calibri"/>
      <family val="2"/>
      <scheme val="minor"/>
    </font>
    <font>
      <sz val="12"/>
      <color theme="1"/>
      <name val="Calibri"/>
      <family val="2"/>
      <scheme val="minor"/>
    </font>
    <font>
      <sz val="12"/>
      <color theme="0"/>
      <name val="Calibri"/>
      <family val="2"/>
      <scheme val="minor"/>
    </font>
    <font>
      <b/>
      <i/>
      <u/>
      <sz val="12"/>
      <name val="Calibri"/>
      <family val="2"/>
      <scheme val="minor"/>
    </font>
    <font>
      <sz val="12"/>
      <color theme="0" tint="-0.249977111117893"/>
      <name val="Calibri"/>
      <family val="2"/>
      <scheme val="minor"/>
    </font>
    <font>
      <sz val="12"/>
      <color indexed="8"/>
      <name val="Calibri"/>
      <family val="2"/>
      <scheme val="minor"/>
    </font>
    <font>
      <b/>
      <i/>
      <sz val="12"/>
      <name val="Calibri"/>
      <family val="2"/>
      <scheme val="minor"/>
    </font>
    <font>
      <i/>
      <sz val="12"/>
      <name val="Calibri"/>
      <family val="2"/>
      <scheme val="minor"/>
    </font>
    <font>
      <b/>
      <sz val="12"/>
      <color theme="1"/>
      <name val="Calibri"/>
      <family val="2"/>
      <scheme val="minor"/>
    </font>
    <font>
      <sz val="12"/>
      <name val="Arial"/>
      <family val="2"/>
    </font>
    <font>
      <b/>
      <sz val="18"/>
      <color theme="0"/>
      <name val="Calibri"/>
      <family val="2"/>
      <scheme val="minor"/>
    </font>
    <font>
      <sz val="10"/>
      <color theme="0"/>
      <name val="Calibri"/>
      <family val="2"/>
      <scheme val="minor"/>
    </font>
    <font>
      <b/>
      <sz val="12"/>
      <color rgb="FF87418C"/>
      <name val="Calibri"/>
      <family val="2"/>
      <scheme val="minor"/>
    </font>
    <font>
      <b/>
      <i/>
      <sz val="12"/>
      <color rgb="FF87418C"/>
      <name val="Calibri"/>
      <family val="2"/>
      <scheme val="minor"/>
    </font>
    <font>
      <b/>
      <sz val="18"/>
      <color theme="0"/>
      <name val="Arial"/>
      <family val="2"/>
    </font>
    <font>
      <sz val="11"/>
      <color rgb="FF002060"/>
      <name val="Calibri"/>
      <family val="2"/>
      <scheme val="minor"/>
    </font>
    <font>
      <sz val="10"/>
      <color theme="0"/>
      <name val="Arial"/>
      <family val="2"/>
    </font>
    <font>
      <b/>
      <sz val="10"/>
      <color theme="0"/>
      <name val="Arial"/>
      <family val="2"/>
    </font>
    <font>
      <b/>
      <sz val="10"/>
      <color rgb="FF002060"/>
      <name val="Arial"/>
      <family val="2"/>
    </font>
    <font>
      <sz val="10"/>
      <color rgb="FF002060"/>
      <name val="Arial"/>
      <family val="2"/>
    </font>
    <font>
      <sz val="12"/>
      <color rgb="FF002060"/>
      <name val="Arial"/>
      <family val="2"/>
    </font>
    <font>
      <i/>
      <sz val="10"/>
      <color rgb="FF002060"/>
      <name val="Arial"/>
      <family val="2"/>
    </font>
    <font>
      <sz val="10"/>
      <color rgb="FF002060"/>
      <name val="Calibri"/>
      <family val="2"/>
      <scheme val="minor"/>
    </font>
    <font>
      <b/>
      <sz val="10"/>
      <color rgb="FF002060"/>
      <name val="Calibri"/>
      <family val="2"/>
      <scheme val="minor"/>
    </font>
    <font>
      <b/>
      <sz val="12"/>
      <color rgb="FF002060"/>
      <name val="Calibri"/>
      <family val="2"/>
      <scheme val="minor"/>
    </font>
    <font>
      <sz val="12"/>
      <color rgb="FF002060"/>
      <name val="Calibri"/>
      <family val="2"/>
      <scheme val="minor"/>
    </font>
    <font>
      <i/>
      <u/>
      <sz val="12"/>
      <color rgb="FF002060"/>
      <name val="Calibri"/>
      <family val="2"/>
      <scheme val="minor"/>
    </font>
    <font>
      <b/>
      <i/>
      <u/>
      <sz val="12"/>
      <color rgb="FF002060"/>
      <name val="Calibri"/>
      <family val="2"/>
      <scheme val="minor"/>
    </font>
    <font>
      <sz val="8"/>
      <color rgb="FF002060"/>
      <name val="Calibri"/>
      <family val="2"/>
      <scheme val="minor"/>
    </font>
    <font>
      <b/>
      <sz val="16"/>
      <color theme="0"/>
      <name val="Arial"/>
      <family val="2"/>
    </font>
    <font>
      <sz val="16"/>
      <color theme="0"/>
      <name val="Calibri"/>
      <family val="2"/>
      <scheme val="minor"/>
    </font>
    <font>
      <sz val="16"/>
      <color rgb="FF002060"/>
      <name val="Calibri"/>
      <family val="2"/>
      <scheme val="minor"/>
    </font>
    <font>
      <b/>
      <sz val="16"/>
      <color rgb="FF002060"/>
      <name val="Calibri"/>
      <family val="2"/>
      <scheme val="minor"/>
    </font>
    <font>
      <b/>
      <i/>
      <sz val="12"/>
      <color rgb="FF002060"/>
      <name val="Calibri"/>
      <family val="2"/>
      <scheme val="minor"/>
    </font>
    <font>
      <b/>
      <sz val="14"/>
      <color theme="0"/>
      <name val="Calibri"/>
      <family val="2"/>
      <scheme val="minor"/>
    </font>
    <font>
      <b/>
      <sz val="12"/>
      <color theme="0"/>
      <name val="Calibri"/>
      <family val="2"/>
      <scheme val="minor"/>
    </font>
    <font>
      <b/>
      <i/>
      <sz val="12"/>
      <color theme="0"/>
      <name val="Calibri"/>
      <family val="2"/>
      <scheme val="minor"/>
    </font>
    <font>
      <sz val="10"/>
      <color rgb="FF87418C"/>
      <name val="Arial"/>
      <family val="2"/>
    </font>
    <font>
      <b/>
      <sz val="10"/>
      <color rgb="FF87418C"/>
      <name val="Arial"/>
      <family val="2"/>
    </font>
  </fonts>
  <fills count="1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2"/>
        <bgColor indexed="29"/>
      </patternFill>
    </fill>
    <fill>
      <patternFill patternType="solid">
        <fgColor rgb="FF87418C"/>
        <bgColor indexed="64"/>
      </patternFill>
    </fill>
    <fill>
      <patternFill patternType="solid">
        <fgColor theme="0" tint="-0.14999847407452621"/>
        <bgColor indexed="64"/>
      </patternFill>
    </fill>
    <fill>
      <patternFill patternType="solid">
        <fgColor theme="0" tint="-0.14999847407452621"/>
        <bgColor indexed="29"/>
      </patternFill>
    </fill>
    <fill>
      <patternFill patternType="solid">
        <fgColor rgb="FF002060"/>
        <bgColor indexed="29"/>
      </patternFill>
    </fill>
    <fill>
      <patternFill patternType="solid">
        <fgColor theme="0" tint="-4.9989318521683403E-2"/>
        <bgColor indexed="64"/>
      </patternFill>
    </fill>
    <fill>
      <patternFill patternType="solid">
        <fgColor theme="0" tint="-4.9989318521683403E-2"/>
        <bgColor indexed="29"/>
      </patternFill>
    </fill>
    <fill>
      <patternFill patternType="solid">
        <fgColor rgb="FF002060"/>
        <bgColor indexed="64"/>
      </patternFill>
    </fill>
    <fill>
      <patternFill patternType="solid">
        <fgColor theme="0" tint="-4.9989318521683403E-2"/>
        <bgColor auto="1"/>
      </patternFill>
    </fill>
    <fill>
      <patternFill patternType="gray125">
        <bgColor theme="0" tint="-0.14999847407452621"/>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right/>
      <top/>
      <bottom style="dashed">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2">
    <xf numFmtId="0" fontId="0" fillId="0" borderId="0"/>
    <xf numFmtId="44" fontId="1" fillId="0" borderId="0" applyFont="0" applyFill="0" applyBorder="0" applyAlignment="0" applyProtection="0"/>
  </cellStyleXfs>
  <cellXfs count="368">
    <xf numFmtId="0" fontId="0" fillId="0" borderId="0" xfId="0"/>
    <xf numFmtId="0" fontId="3" fillId="2" borderId="0" xfId="0" applyFont="1" applyFill="1" applyProtection="1"/>
    <xf numFmtId="0" fontId="3" fillId="0" borderId="0" xfId="0" applyFont="1"/>
    <xf numFmtId="0" fontId="0" fillId="0" borderId="0" xfId="0" applyProtection="1"/>
    <xf numFmtId="0" fontId="3" fillId="2" borderId="0" xfId="0" applyFont="1" applyFill="1" applyBorder="1" applyProtection="1"/>
    <xf numFmtId="2" fontId="0" fillId="0" borderId="0" xfId="0" applyNumberFormat="1"/>
    <xf numFmtId="0" fontId="12" fillId="0" borderId="0" xfId="0" applyFont="1"/>
    <xf numFmtId="0" fontId="13" fillId="0" borderId="0" xfId="0" applyFont="1"/>
    <xf numFmtId="0" fontId="0" fillId="2" borderId="0" xfId="0" applyFill="1" applyProtection="1"/>
    <xf numFmtId="0" fontId="3" fillId="0" borderId="0" xfId="0" applyFont="1" applyProtection="1"/>
    <xf numFmtId="0" fontId="3" fillId="0" borderId="0" xfId="0" applyFont="1" applyFill="1" applyBorder="1"/>
    <xf numFmtId="0" fontId="14" fillId="0" borderId="0" xfId="0" applyFont="1"/>
    <xf numFmtId="0" fontId="15" fillId="0" borderId="0" xfId="0" applyFont="1"/>
    <xf numFmtId="10" fontId="0" fillId="0" borderId="0" xfId="0" applyNumberFormat="1"/>
    <xf numFmtId="167" fontId="0" fillId="0" borderId="0" xfId="0" applyNumberFormat="1"/>
    <xf numFmtId="0" fontId="16" fillId="2" borderId="0" xfId="0" applyFont="1" applyFill="1"/>
    <xf numFmtId="43" fontId="0" fillId="0" borderId="0" xfId="0" applyNumberFormat="1"/>
    <xf numFmtId="0" fontId="7" fillId="0" borderId="0" xfId="0" applyFont="1" applyFill="1" applyProtection="1"/>
    <xf numFmtId="44" fontId="0" fillId="0" borderId="0" xfId="0" applyNumberFormat="1"/>
    <xf numFmtId="0" fontId="0" fillId="0" borderId="0" xfId="0" applyFont="1"/>
    <xf numFmtId="0" fontId="17" fillId="0" borderId="0" xfId="0" applyFont="1"/>
    <xf numFmtId="0" fontId="0" fillId="2" borderId="0" xfId="0" applyFont="1" applyFill="1"/>
    <xf numFmtId="165" fontId="0" fillId="2" borderId="0" xfId="0" applyNumberFormat="1" applyFont="1" applyFill="1"/>
    <xf numFmtId="164" fontId="0" fillId="2" borderId="0" xfId="0" applyNumberFormat="1" applyFont="1" applyFill="1"/>
    <xf numFmtId="2" fontId="0" fillId="0" borderId="0" xfId="0" applyNumberFormat="1" applyFont="1"/>
    <xf numFmtId="0" fontId="0" fillId="2" borderId="5" xfId="0" applyFont="1" applyFill="1" applyBorder="1"/>
    <xf numFmtId="0" fontId="19" fillId="5" borderId="0" xfId="0" applyFont="1" applyFill="1" applyProtection="1"/>
    <xf numFmtId="0" fontId="20" fillId="2" borderId="0" xfId="0" applyFont="1" applyFill="1" applyProtection="1"/>
    <xf numFmtId="0" fontId="21" fillId="2" borderId="1" xfId="0" applyFont="1" applyFill="1" applyBorder="1" applyAlignment="1" applyProtection="1">
      <alignment horizontal="right"/>
    </xf>
    <xf numFmtId="0" fontId="21" fillId="2" borderId="0" xfId="0" applyFont="1" applyFill="1" applyProtection="1"/>
    <xf numFmtId="0" fontId="21" fillId="2" borderId="4" xfId="0" applyFont="1" applyFill="1" applyBorder="1" applyAlignment="1" applyProtection="1">
      <alignment horizontal="right"/>
    </xf>
    <xf numFmtId="0" fontId="21" fillId="2" borderId="5" xfId="0" applyFont="1" applyFill="1" applyBorder="1" applyProtection="1"/>
    <xf numFmtId="0" fontId="21" fillId="0" borderId="0" xfId="0" applyFont="1" applyProtection="1"/>
    <xf numFmtId="0" fontId="24" fillId="2" borderId="0" xfId="0" applyFont="1" applyFill="1" applyProtection="1"/>
    <xf numFmtId="164" fontId="25" fillId="2" borderId="0" xfId="1" applyNumberFormat="1" applyFont="1" applyFill="1" applyProtection="1"/>
    <xf numFmtId="0" fontId="24" fillId="0" borderId="0" xfId="0" applyFont="1" applyProtection="1"/>
    <xf numFmtId="164" fontId="20" fillId="2" borderId="0" xfId="0" applyNumberFormat="1" applyFont="1" applyFill="1" applyProtection="1"/>
    <xf numFmtId="0" fontId="20" fillId="2" borderId="0" xfId="0" applyFont="1" applyFill="1" applyAlignment="1" applyProtection="1">
      <alignment horizontal="center"/>
    </xf>
    <xf numFmtId="164" fontId="21" fillId="0" borderId="0" xfId="0" applyNumberFormat="1" applyFont="1" applyProtection="1"/>
    <xf numFmtId="164" fontId="21" fillId="2" borderId="0" xfId="0" applyNumberFormat="1" applyFont="1" applyFill="1" applyProtection="1"/>
    <xf numFmtId="164" fontId="21" fillId="2" borderId="12" xfId="0" applyNumberFormat="1" applyFont="1" applyFill="1" applyBorder="1" applyProtection="1"/>
    <xf numFmtId="0" fontId="26" fillId="2" borderId="0" xfId="0" applyFont="1" applyFill="1" applyProtection="1"/>
    <xf numFmtId="0" fontId="20" fillId="3" borderId="1" xfId="0" applyFont="1" applyFill="1" applyBorder="1" applyProtection="1"/>
    <xf numFmtId="0" fontId="21" fillId="3" borderId="2" xfId="0" applyFont="1" applyFill="1" applyBorder="1" applyProtection="1"/>
    <xf numFmtId="0" fontId="21" fillId="3" borderId="3" xfId="0" applyFont="1" applyFill="1" applyBorder="1" applyProtection="1"/>
    <xf numFmtId="0" fontId="21" fillId="3" borderId="16" xfId="0" applyFont="1" applyFill="1" applyBorder="1" applyProtection="1"/>
    <xf numFmtId="0" fontId="21" fillId="3" borderId="0" xfId="0" applyFont="1" applyFill="1" applyProtection="1"/>
    <xf numFmtId="164" fontId="21" fillId="3" borderId="0" xfId="0" applyNumberFormat="1" applyFont="1" applyFill="1" applyProtection="1"/>
    <xf numFmtId="0" fontId="21" fillId="3" borderId="17" xfId="0" applyFont="1" applyFill="1" applyBorder="1" applyProtection="1"/>
    <xf numFmtId="0" fontId="27" fillId="3" borderId="0" xfId="0" applyFont="1" applyFill="1" applyProtection="1"/>
    <xf numFmtId="164" fontId="21" fillId="3" borderId="17" xfId="0" applyNumberFormat="1" applyFont="1" applyFill="1" applyBorder="1" applyProtection="1"/>
    <xf numFmtId="164" fontId="21" fillId="3" borderId="18" xfId="0" applyNumberFormat="1" applyFont="1" applyFill="1" applyBorder="1" applyProtection="1"/>
    <xf numFmtId="0" fontId="28" fillId="3" borderId="16" xfId="0" applyFont="1" applyFill="1" applyBorder="1" applyProtection="1"/>
    <xf numFmtId="164" fontId="27" fillId="3" borderId="0" xfId="0" applyNumberFormat="1" applyFont="1" applyFill="1" applyProtection="1"/>
    <xf numFmtId="164" fontId="27" fillId="3" borderId="0" xfId="1" applyNumberFormat="1" applyFont="1" applyFill="1" applyProtection="1"/>
    <xf numFmtId="164" fontId="21" fillId="3" borderId="0" xfId="1" applyNumberFormat="1" applyFont="1" applyFill="1" applyProtection="1"/>
    <xf numFmtId="0" fontId="26" fillId="3" borderId="4" xfId="0" applyFont="1" applyFill="1" applyBorder="1" applyProtection="1"/>
    <xf numFmtId="0" fontId="23" fillId="3" borderId="5" xfId="0" applyFont="1" applyFill="1" applyBorder="1" applyProtection="1"/>
    <xf numFmtId="0" fontId="21" fillId="3" borderId="5" xfId="0" applyFont="1" applyFill="1" applyBorder="1" applyProtection="1"/>
    <xf numFmtId="164" fontId="21" fillId="3" borderId="5" xfId="0" applyNumberFormat="1" applyFont="1" applyFill="1" applyBorder="1" applyProtection="1"/>
    <xf numFmtId="164" fontId="20" fillId="3" borderId="6" xfId="0" applyNumberFormat="1" applyFont="1" applyFill="1" applyBorder="1" applyProtection="1"/>
    <xf numFmtId="0" fontId="18" fillId="0" borderId="0" xfId="0" applyFont="1" applyProtection="1"/>
    <xf numFmtId="164" fontId="0" fillId="0" borderId="0" xfId="0" applyNumberFormat="1" applyProtection="1"/>
    <xf numFmtId="0" fontId="21" fillId="2" borderId="0" xfId="0" applyFont="1" applyFill="1" applyBorder="1" applyProtection="1"/>
    <xf numFmtId="10" fontId="21" fillId="3" borderId="5" xfId="0" applyNumberFormat="1" applyFont="1" applyFill="1" applyBorder="1" applyProtection="1"/>
    <xf numFmtId="164" fontId="22" fillId="2" borderId="0" xfId="1" applyNumberFormat="1" applyFont="1" applyFill="1" applyProtection="1"/>
    <xf numFmtId="164" fontId="22" fillId="2" borderId="0" xfId="0" applyNumberFormat="1" applyFont="1" applyFill="1" applyProtection="1"/>
    <xf numFmtId="0" fontId="30" fillId="2" borderId="0" xfId="0" applyFont="1" applyFill="1" applyProtection="1"/>
    <xf numFmtId="164" fontId="21" fillId="2" borderId="0" xfId="0" applyNumberFormat="1" applyFont="1" applyFill="1" applyBorder="1" applyProtection="1"/>
    <xf numFmtId="164" fontId="21" fillId="5" borderId="0" xfId="0" applyNumberFormat="1" applyFont="1" applyFill="1" applyBorder="1" applyProtection="1"/>
    <xf numFmtId="164" fontId="24" fillId="2" borderId="0" xfId="0" applyNumberFormat="1" applyFont="1" applyFill="1" applyBorder="1" applyProtection="1"/>
    <xf numFmtId="164" fontId="21" fillId="2" borderId="0" xfId="1" applyNumberFormat="1" applyFont="1" applyFill="1" applyBorder="1" applyProtection="1"/>
    <xf numFmtId="166" fontId="20" fillId="2" borderId="5" xfId="0" applyNumberFormat="1" applyFont="1" applyFill="1" applyBorder="1" applyProtection="1"/>
    <xf numFmtId="166" fontId="20" fillId="2" borderId="0" xfId="0" applyNumberFormat="1" applyFont="1" applyFill="1" applyBorder="1" applyProtection="1"/>
    <xf numFmtId="0" fontId="2" fillId="2" borderId="0" xfId="0" applyFont="1" applyFill="1" applyProtection="1"/>
    <xf numFmtId="164" fontId="2" fillId="0" borderId="0" xfId="0" applyNumberFormat="1" applyFont="1" applyProtection="1"/>
    <xf numFmtId="164" fontId="3" fillId="0" borderId="0" xfId="0" applyNumberFormat="1" applyFont="1" applyProtection="1"/>
    <xf numFmtId="0" fontId="30" fillId="4" borderId="0" xfId="0" applyFont="1" applyFill="1" applyBorder="1" applyProtection="1"/>
    <xf numFmtId="0" fontId="21" fillId="4" borderId="0" xfId="0" applyFont="1" applyFill="1" applyBorder="1" applyProtection="1"/>
    <xf numFmtId="164" fontId="21" fillId="4" borderId="0" xfId="0" applyNumberFormat="1" applyFont="1" applyFill="1" applyBorder="1" applyProtection="1"/>
    <xf numFmtId="0" fontId="30" fillId="5" borderId="0" xfId="0" applyFont="1" applyFill="1" applyBorder="1" applyProtection="1"/>
    <xf numFmtId="0" fontId="21" fillId="5" borderId="0" xfId="0" applyFont="1" applyFill="1" applyBorder="1" applyProtection="1"/>
    <xf numFmtId="0" fontId="20" fillId="5" borderId="0" xfId="0" applyFont="1" applyFill="1" applyProtection="1"/>
    <xf numFmtId="0" fontId="31" fillId="5" borderId="0" xfId="0" applyFont="1" applyFill="1" applyProtection="1"/>
    <xf numFmtId="0" fontId="24" fillId="5" borderId="0" xfId="0" applyFont="1" applyFill="1" applyProtection="1"/>
    <xf numFmtId="0" fontId="24" fillId="5" borderId="0" xfId="0" applyFont="1" applyFill="1" applyAlignment="1" applyProtection="1">
      <alignment horizontal="right"/>
    </xf>
    <xf numFmtId="0" fontId="24" fillId="2" borderId="0" xfId="0" applyFont="1" applyFill="1" applyAlignment="1" applyProtection="1">
      <alignment horizontal="right"/>
    </xf>
    <xf numFmtId="0" fontId="24" fillId="2" borderId="0" xfId="0" applyFont="1" applyFill="1" applyBorder="1" applyProtection="1"/>
    <xf numFmtId="0" fontId="0" fillId="2" borderId="0" xfId="0" applyFill="1" applyBorder="1" applyProtection="1"/>
    <xf numFmtId="164" fontId="24" fillId="0" borderId="0" xfId="0" applyNumberFormat="1" applyFont="1" applyProtection="1"/>
    <xf numFmtId="0" fontId="24" fillId="2" borderId="5" xfId="0" applyFont="1" applyFill="1" applyBorder="1" applyProtection="1"/>
    <xf numFmtId="164" fontId="20" fillId="2" borderId="5" xfId="0" applyNumberFormat="1" applyFont="1" applyFill="1" applyBorder="1" applyProtection="1"/>
    <xf numFmtId="0" fontId="0" fillId="2" borderId="5" xfId="0" applyFill="1" applyBorder="1" applyProtection="1"/>
    <xf numFmtId="0" fontId="29" fillId="2" borderId="0" xfId="0" applyFont="1" applyFill="1" applyProtection="1"/>
    <xf numFmtId="0" fontId="20" fillId="2" borderId="0" xfId="0" applyFont="1" applyFill="1" applyBorder="1" applyProtection="1"/>
    <xf numFmtId="164" fontId="20" fillId="2" borderId="0" xfId="0" applyNumberFormat="1" applyFont="1" applyFill="1" applyBorder="1" applyProtection="1"/>
    <xf numFmtId="44" fontId="0" fillId="0" borderId="0" xfId="0" applyNumberFormat="1" applyProtection="1"/>
    <xf numFmtId="10" fontId="0" fillId="0" borderId="0" xfId="0" applyNumberFormat="1" applyProtection="1"/>
    <xf numFmtId="167" fontId="0" fillId="0" borderId="0" xfId="0" applyNumberFormat="1" applyProtection="1"/>
    <xf numFmtId="0" fontId="0" fillId="0" borderId="0" xfId="0" applyFont="1" applyAlignment="1" applyProtection="1">
      <alignment vertical="center"/>
    </xf>
    <xf numFmtId="43" fontId="17" fillId="0" borderId="0" xfId="0" applyNumberFormat="1" applyFont="1"/>
    <xf numFmtId="0" fontId="17" fillId="0" borderId="0" xfId="0" applyNumberFormat="1" applyFont="1"/>
    <xf numFmtId="167" fontId="17" fillId="0" borderId="0" xfId="0" applyNumberFormat="1" applyFont="1"/>
    <xf numFmtId="0" fontId="24" fillId="2" borderId="16" xfId="0" applyFont="1" applyFill="1" applyBorder="1" applyAlignment="1" applyProtection="1">
      <alignment horizontal="center"/>
    </xf>
    <xf numFmtId="0" fontId="24" fillId="2" borderId="0" xfId="0" applyFont="1" applyFill="1" applyBorder="1" applyAlignment="1" applyProtection="1">
      <alignment horizontal="center"/>
    </xf>
    <xf numFmtId="0" fontId="24" fillId="2" borderId="17" xfId="0" applyFont="1" applyFill="1" applyBorder="1" applyAlignment="1" applyProtection="1">
      <alignment horizontal="center"/>
    </xf>
    <xf numFmtId="0" fontId="24" fillId="2" borderId="0" xfId="0" applyFont="1" applyFill="1" applyAlignment="1" applyProtection="1">
      <alignment horizontal="left" wrapText="1"/>
    </xf>
    <xf numFmtId="0" fontId="24" fillId="2" borderId="4" xfId="0" applyFont="1" applyFill="1" applyBorder="1" applyAlignment="1" applyProtection="1">
      <alignment horizontal="center"/>
    </xf>
    <xf numFmtId="0" fontId="24" fillId="2" borderId="5" xfId="0" applyFont="1" applyFill="1" applyBorder="1" applyAlignment="1" applyProtection="1">
      <alignment horizontal="center"/>
    </xf>
    <xf numFmtId="0" fontId="24" fillId="2" borderId="6" xfId="0" applyFont="1" applyFill="1" applyBorder="1" applyAlignment="1" applyProtection="1">
      <alignment horizontal="center"/>
    </xf>
    <xf numFmtId="0" fontId="33" fillId="7" borderId="0" xfId="0" applyFont="1" applyFill="1" applyProtection="1"/>
    <xf numFmtId="0" fontId="34" fillId="7" borderId="0" xfId="0" applyFont="1" applyFill="1" applyProtection="1"/>
    <xf numFmtId="0" fontId="21" fillId="8" borderId="13" xfId="1" applyNumberFormat="1" applyFont="1" applyFill="1" applyBorder="1" applyAlignment="1" applyProtection="1">
      <alignment horizontal="left" vertical="center"/>
      <protection locked="0"/>
    </xf>
    <xf numFmtId="0" fontId="21" fillId="8" borderId="14" xfId="1" applyNumberFormat="1" applyFont="1" applyFill="1" applyBorder="1" applyAlignment="1" applyProtection="1">
      <alignment horizontal="left" vertical="center"/>
      <protection locked="0"/>
    </xf>
    <xf numFmtId="0" fontId="21" fillId="8" borderId="15" xfId="1" applyNumberFormat="1" applyFont="1" applyFill="1" applyBorder="1" applyAlignment="1" applyProtection="1">
      <alignment horizontal="left" vertical="center"/>
      <protection locked="0"/>
    </xf>
    <xf numFmtId="164" fontId="21" fillId="9" borderId="7" xfId="0" applyNumberFormat="1" applyFont="1" applyFill="1" applyBorder="1" applyProtection="1">
      <protection locked="0"/>
    </xf>
    <xf numFmtId="164" fontId="21" fillId="9" borderId="9" xfId="1" applyNumberFormat="1" applyFont="1" applyFill="1" applyBorder="1" applyProtection="1">
      <protection locked="0"/>
    </xf>
    <xf numFmtId="164" fontId="25" fillId="10" borderId="21" xfId="1" applyNumberFormat="1" applyFont="1" applyFill="1" applyBorder="1" applyProtection="1"/>
    <xf numFmtId="0" fontId="21" fillId="8" borderId="7" xfId="0" applyFont="1" applyFill="1" applyBorder="1" applyProtection="1">
      <protection locked="0"/>
    </xf>
    <xf numFmtId="0" fontId="21" fillId="8" borderId="20" xfId="0" applyFont="1" applyFill="1" applyBorder="1" applyProtection="1">
      <protection locked="0"/>
    </xf>
    <xf numFmtId="0" fontId="21" fillId="8" borderId="11" xfId="0" applyFont="1" applyFill="1" applyBorder="1" applyProtection="1">
      <protection locked="0"/>
    </xf>
    <xf numFmtId="164" fontId="21" fillId="8" borderId="8" xfId="1" applyNumberFormat="1" applyFont="1" applyFill="1" applyBorder="1" applyProtection="1">
      <protection locked="0"/>
    </xf>
    <xf numFmtId="164" fontId="25" fillId="7" borderId="7" xfId="0" applyNumberFormat="1" applyFont="1" applyFill="1" applyBorder="1" applyProtection="1"/>
    <xf numFmtId="164" fontId="25" fillId="7" borderId="8" xfId="0" applyNumberFormat="1" applyFont="1" applyFill="1" applyBorder="1" applyProtection="1"/>
    <xf numFmtId="164" fontId="25" fillId="7" borderId="11" xfId="0" applyNumberFormat="1" applyFont="1" applyFill="1" applyBorder="1" applyProtection="1"/>
    <xf numFmtId="164" fontId="25" fillId="7" borderId="9" xfId="1" applyNumberFormat="1" applyFont="1" applyFill="1" applyBorder="1" applyProtection="1"/>
    <xf numFmtId="164" fontId="25" fillId="7" borderId="21" xfId="1" applyNumberFormat="1" applyFont="1" applyFill="1" applyBorder="1" applyProtection="1"/>
    <xf numFmtId="168" fontId="21" fillId="9" borderId="7" xfId="0" applyNumberFormat="1" applyFont="1" applyFill="1" applyBorder="1" applyProtection="1">
      <protection locked="0"/>
    </xf>
    <xf numFmtId="168" fontId="21" fillId="9" borderId="20" xfId="0" applyNumberFormat="1" applyFont="1" applyFill="1" applyBorder="1" applyProtection="1">
      <protection locked="0"/>
    </xf>
    <xf numFmtId="168" fontId="21" fillId="9" borderId="11" xfId="0" applyNumberFormat="1" applyFont="1" applyFill="1" applyBorder="1" applyProtection="1">
      <protection locked="0"/>
    </xf>
    <xf numFmtId="0" fontId="25" fillId="7" borderId="13" xfId="0" applyFont="1" applyFill="1" applyBorder="1" applyProtection="1"/>
    <xf numFmtId="0" fontId="25" fillId="7" borderId="14" xfId="0" applyFont="1" applyFill="1" applyBorder="1" applyProtection="1"/>
    <xf numFmtId="0" fontId="25" fillId="7" borderId="15" xfId="0" applyFont="1" applyFill="1" applyBorder="1" applyProtection="1"/>
    <xf numFmtId="0" fontId="38" fillId="0" borderId="0" xfId="0" applyFont="1"/>
    <xf numFmtId="0" fontId="37" fillId="7" borderId="0" xfId="0" applyFont="1" applyFill="1"/>
    <xf numFmtId="0" fontId="39" fillId="7" borderId="0" xfId="0" applyFont="1" applyFill="1"/>
    <xf numFmtId="0" fontId="41" fillId="5" borderId="0" xfId="0" applyFont="1" applyFill="1"/>
    <xf numFmtId="0" fontId="42" fillId="5" borderId="0" xfId="0" applyFont="1" applyFill="1"/>
    <xf numFmtId="0" fontId="43" fillId="5" borderId="1" xfId="0" applyFont="1" applyFill="1" applyBorder="1"/>
    <xf numFmtId="1" fontId="43" fillId="5" borderId="2" xfId="0" applyNumberFormat="1" applyFont="1" applyFill="1" applyBorder="1" applyAlignment="1">
      <alignment horizontal="left" vertical="center"/>
    </xf>
    <xf numFmtId="1" fontId="43" fillId="5" borderId="3" xfId="0" applyNumberFormat="1" applyFont="1" applyFill="1" applyBorder="1" applyAlignment="1">
      <alignment horizontal="left" vertical="center"/>
    </xf>
    <xf numFmtId="0" fontId="43" fillId="5" borderId="4" xfId="0" applyFont="1" applyFill="1" applyBorder="1"/>
    <xf numFmtId="1" fontId="43" fillId="5" borderId="5" xfId="0" applyNumberFormat="1" applyFont="1" applyFill="1" applyBorder="1" applyAlignment="1">
      <alignment horizontal="left" vertical="center"/>
    </xf>
    <xf numFmtId="1" fontId="43" fillId="5" borderId="6" xfId="0" applyNumberFormat="1" applyFont="1" applyFill="1" applyBorder="1" applyAlignment="1">
      <alignment horizontal="left" vertical="center"/>
    </xf>
    <xf numFmtId="0" fontId="42" fillId="5" borderId="0" xfId="0" applyFont="1" applyFill="1" applyBorder="1" applyAlignment="1" applyProtection="1">
      <alignment horizontal="center"/>
      <protection locked="0"/>
    </xf>
    <xf numFmtId="0" fontId="42" fillId="5" borderId="0" xfId="0" applyFont="1" applyFill="1" applyBorder="1"/>
    <xf numFmtId="0" fontId="42" fillId="5" borderId="0" xfId="0" applyFont="1" applyFill="1" applyBorder="1" applyAlignment="1">
      <alignment horizontal="center"/>
    </xf>
    <xf numFmtId="0" fontId="42" fillId="5" borderId="5" xfId="0" applyFont="1" applyFill="1" applyBorder="1"/>
    <xf numFmtId="0" fontId="42" fillId="5" borderId="6" xfId="0" applyFont="1" applyFill="1" applyBorder="1"/>
    <xf numFmtId="0" fontId="42" fillId="5" borderId="11" xfId="0" applyFont="1" applyFill="1" applyBorder="1" applyAlignment="1">
      <alignment horizontal="center" vertical="center"/>
    </xf>
    <xf numFmtId="0" fontId="42" fillId="5" borderId="7" xfId="0" applyFont="1" applyFill="1" applyBorder="1" applyAlignment="1">
      <alignment horizontal="center" vertical="center"/>
    </xf>
    <xf numFmtId="165" fontId="42" fillId="5" borderId="0" xfId="0" applyNumberFormat="1" applyFont="1" applyFill="1" applyBorder="1"/>
    <xf numFmtId="164" fontId="42" fillId="5" borderId="7" xfId="0" applyNumberFormat="1" applyFont="1" applyFill="1" applyBorder="1"/>
    <xf numFmtId="165" fontId="42" fillId="5" borderId="10" xfId="0" applyNumberFormat="1" applyFont="1" applyFill="1" applyBorder="1"/>
    <xf numFmtId="164" fontId="42" fillId="5" borderId="0" xfId="0" applyNumberFormat="1" applyFont="1" applyFill="1" applyBorder="1"/>
    <xf numFmtId="164" fontId="42" fillId="8" borderId="11" xfId="0" applyNumberFormat="1" applyFont="1" applyFill="1" applyBorder="1" applyProtection="1">
      <protection locked="0"/>
    </xf>
    <xf numFmtId="164" fontId="42" fillId="8" borderId="7" xfId="0" applyNumberFormat="1" applyFont="1" applyFill="1" applyBorder="1" applyProtection="1">
      <protection locked="0"/>
    </xf>
    <xf numFmtId="0" fontId="39" fillId="5" borderId="0" xfId="0" applyFont="1" applyFill="1" applyBorder="1"/>
    <xf numFmtId="0" fontId="42" fillId="7" borderId="0" xfId="0" applyFont="1" applyFill="1"/>
    <xf numFmtId="0" fontId="40" fillId="7" borderId="0" xfId="0" applyFont="1" applyFill="1" applyAlignment="1">
      <alignment horizontal="right"/>
    </xf>
    <xf numFmtId="0" fontId="38" fillId="0" borderId="0" xfId="0" applyFont="1" applyProtection="1"/>
    <xf numFmtId="0" fontId="45" fillId="5" borderId="0" xfId="0" applyFont="1" applyFill="1" applyProtection="1"/>
    <xf numFmtId="0" fontId="46" fillId="2" borderId="0" xfId="0" applyFont="1" applyFill="1" applyProtection="1"/>
    <xf numFmtId="0" fontId="45" fillId="2" borderId="0" xfId="0" applyFont="1" applyFill="1" applyProtection="1"/>
    <xf numFmtId="0" fontId="45" fillId="0" borderId="0" xfId="0" applyFont="1" applyProtection="1"/>
    <xf numFmtId="0" fontId="47" fillId="2" borderId="0" xfId="0" applyFont="1" applyFill="1" applyProtection="1"/>
    <xf numFmtId="0" fontId="48" fillId="2" borderId="1" xfId="0" applyFont="1" applyFill="1" applyBorder="1" applyAlignment="1" applyProtection="1">
      <alignment horizontal="right"/>
    </xf>
    <xf numFmtId="0" fontId="48" fillId="11" borderId="13" xfId="1" applyNumberFormat="1" applyFont="1" applyFill="1" applyBorder="1" applyAlignment="1" applyProtection="1">
      <alignment horizontal="left" vertical="center"/>
    </xf>
    <xf numFmtId="0" fontId="48" fillId="11" borderId="14" xfId="1" applyNumberFormat="1" applyFont="1" applyFill="1" applyBorder="1" applyAlignment="1" applyProtection="1">
      <alignment horizontal="left" vertical="center"/>
    </xf>
    <xf numFmtId="0" fontId="48" fillId="11" borderId="15" xfId="1" applyNumberFormat="1" applyFont="1" applyFill="1" applyBorder="1" applyAlignment="1" applyProtection="1">
      <alignment horizontal="left" vertical="center"/>
    </xf>
    <xf numFmtId="0" fontId="48" fillId="2" borderId="0" xfId="0" applyFont="1" applyFill="1" applyProtection="1"/>
    <xf numFmtId="0" fontId="48" fillId="2" borderId="4" xfId="0" applyFont="1" applyFill="1" applyBorder="1" applyAlignment="1" applyProtection="1">
      <alignment horizontal="right"/>
    </xf>
    <xf numFmtId="164" fontId="48" fillId="12" borderId="7" xfId="0" applyNumberFormat="1" applyFont="1" applyFill="1" applyBorder="1" applyProtection="1">
      <protection locked="0"/>
    </xf>
    <xf numFmtId="164" fontId="48" fillId="12" borderId="20" xfId="1" applyNumberFormat="1" applyFont="1" applyFill="1" applyBorder="1" applyProtection="1">
      <protection locked="0"/>
    </xf>
    <xf numFmtId="0" fontId="48" fillId="0" borderId="0" xfId="0" applyFont="1" applyProtection="1"/>
    <xf numFmtId="164" fontId="48" fillId="2" borderId="0" xfId="0" applyNumberFormat="1" applyFont="1" applyFill="1" applyProtection="1"/>
    <xf numFmtId="0" fontId="48" fillId="11" borderId="7" xfId="0" applyFont="1" applyFill="1" applyBorder="1" applyProtection="1">
      <protection locked="0"/>
    </xf>
    <xf numFmtId="164" fontId="48" fillId="2" borderId="0" xfId="1" applyNumberFormat="1" applyFont="1" applyFill="1" applyProtection="1"/>
    <xf numFmtId="164" fontId="47" fillId="2" borderId="0" xfId="0" applyNumberFormat="1" applyFont="1" applyFill="1" applyProtection="1"/>
    <xf numFmtId="0" fontId="47" fillId="2" borderId="0" xfId="0" applyFont="1" applyFill="1" applyAlignment="1" applyProtection="1">
      <alignment horizontal="center"/>
    </xf>
    <xf numFmtId="164" fontId="48" fillId="0" borderId="0" xfId="0" applyNumberFormat="1" applyFont="1" applyProtection="1"/>
    <xf numFmtId="164" fontId="46" fillId="0" borderId="0" xfId="0" applyNumberFormat="1" applyFont="1" applyProtection="1"/>
    <xf numFmtId="164" fontId="48" fillId="2" borderId="12" xfId="0" applyNumberFormat="1" applyFont="1" applyFill="1" applyBorder="1" applyProtection="1"/>
    <xf numFmtId="0" fontId="50" fillId="2" borderId="0" xfId="0" applyFont="1" applyFill="1" applyProtection="1"/>
    <xf numFmtId="0" fontId="47" fillId="3" borderId="1" xfId="0" applyFont="1" applyFill="1" applyBorder="1" applyProtection="1"/>
    <xf numFmtId="0" fontId="48" fillId="3" borderId="2" xfId="0" applyFont="1" applyFill="1" applyBorder="1" applyProtection="1"/>
    <xf numFmtId="0" fontId="48" fillId="3" borderId="3" xfId="0" applyFont="1" applyFill="1" applyBorder="1" applyProtection="1"/>
    <xf numFmtId="0" fontId="48" fillId="3" borderId="16" xfId="0" applyFont="1" applyFill="1" applyBorder="1" applyProtection="1"/>
    <xf numFmtId="0" fontId="48" fillId="3" borderId="0" xfId="0" applyFont="1" applyFill="1" applyProtection="1"/>
    <xf numFmtId="164" fontId="48" fillId="3" borderId="0" xfId="0" applyNumberFormat="1" applyFont="1" applyFill="1" applyProtection="1"/>
    <xf numFmtId="0" fontId="48" fillId="3" borderId="17" xfId="0" applyFont="1" applyFill="1" applyBorder="1" applyProtection="1"/>
    <xf numFmtId="164" fontId="48" fillId="3" borderId="17" xfId="0" applyNumberFormat="1" applyFont="1" applyFill="1" applyBorder="1" applyProtection="1"/>
    <xf numFmtId="164" fontId="48" fillId="3" borderId="18" xfId="0" applyNumberFormat="1" applyFont="1" applyFill="1" applyBorder="1" applyProtection="1"/>
    <xf numFmtId="164" fontId="48" fillId="3" borderId="0" xfId="1" applyNumberFormat="1" applyFont="1" applyFill="1" applyProtection="1"/>
    <xf numFmtId="0" fontId="50" fillId="3" borderId="4" xfId="0" applyFont="1" applyFill="1" applyBorder="1" applyProtection="1"/>
    <xf numFmtId="0" fontId="49" fillId="3" borderId="5" xfId="0" applyFont="1" applyFill="1" applyBorder="1" applyProtection="1"/>
    <xf numFmtId="0" fontId="48" fillId="3" borderId="5" xfId="0" applyFont="1" applyFill="1" applyBorder="1" applyProtection="1"/>
    <xf numFmtId="10" fontId="48" fillId="3" borderId="5" xfId="0" applyNumberFormat="1" applyFont="1" applyFill="1" applyBorder="1" applyProtection="1"/>
    <xf numFmtId="164" fontId="48" fillId="3" borderId="5" xfId="0" applyNumberFormat="1" applyFont="1" applyFill="1" applyBorder="1" applyProtection="1"/>
    <xf numFmtId="164" fontId="47" fillId="3" borderId="6" xfId="0" applyNumberFormat="1" applyFont="1" applyFill="1" applyBorder="1" applyProtection="1"/>
    <xf numFmtId="166" fontId="47" fillId="2" borderId="0" xfId="0" applyNumberFormat="1" applyFont="1" applyFill="1" applyProtection="1"/>
    <xf numFmtId="0" fontId="51" fillId="0" borderId="0" xfId="0" applyFont="1" applyProtection="1"/>
    <xf numFmtId="164" fontId="45" fillId="0" borderId="0" xfId="0" applyNumberFormat="1" applyFont="1" applyProtection="1"/>
    <xf numFmtId="164" fontId="48" fillId="2" borderId="5" xfId="0" applyNumberFormat="1" applyFont="1" applyFill="1" applyBorder="1" applyProtection="1"/>
    <xf numFmtId="164" fontId="38" fillId="0" borderId="0" xfId="0" applyNumberFormat="1" applyFont="1" applyProtection="1"/>
    <xf numFmtId="0" fontId="48" fillId="2" borderId="19" xfId="0" applyFont="1" applyFill="1" applyBorder="1" applyProtection="1"/>
    <xf numFmtId="164" fontId="48" fillId="2" borderId="19" xfId="0" applyNumberFormat="1" applyFont="1" applyFill="1" applyBorder="1" applyProtection="1"/>
    <xf numFmtId="0" fontId="48" fillId="2" borderId="0" xfId="0" applyFont="1" applyFill="1" applyBorder="1" applyProtection="1"/>
    <xf numFmtId="0" fontId="48" fillId="2" borderId="5" xfId="0" applyFont="1" applyFill="1" applyBorder="1" applyProtection="1"/>
    <xf numFmtId="0" fontId="48" fillId="2" borderId="1" xfId="0" applyFont="1" applyFill="1" applyBorder="1" applyProtection="1"/>
    <xf numFmtId="0" fontId="48" fillId="2" borderId="2" xfId="0" applyFont="1" applyFill="1" applyBorder="1" applyProtection="1"/>
    <xf numFmtId="0" fontId="48" fillId="2" borderId="3" xfId="0" applyFont="1" applyFill="1" applyBorder="1" applyProtection="1"/>
    <xf numFmtId="0" fontId="48" fillId="2" borderId="16" xfId="0" applyFont="1" applyFill="1" applyBorder="1" applyProtection="1"/>
    <xf numFmtId="0" fontId="48" fillId="2" borderId="17" xfId="0" applyFont="1" applyFill="1" applyBorder="1" applyProtection="1"/>
    <xf numFmtId="10" fontId="48" fillId="2" borderId="0" xfId="0" applyNumberFormat="1" applyFont="1" applyFill="1" applyProtection="1"/>
    <xf numFmtId="44" fontId="48" fillId="2" borderId="0" xfId="0" applyNumberFormat="1" applyFont="1" applyFill="1" applyProtection="1"/>
    <xf numFmtId="0" fontId="48" fillId="2" borderId="4" xfId="0" applyFont="1" applyFill="1" applyBorder="1" applyProtection="1"/>
    <xf numFmtId="0" fontId="48" fillId="2" borderId="6" xfId="0" applyFont="1" applyFill="1" applyBorder="1" applyProtection="1"/>
    <xf numFmtId="0" fontId="38" fillId="2" borderId="0" xfId="0" applyFont="1" applyFill="1" applyProtection="1"/>
    <xf numFmtId="0" fontId="52" fillId="7" borderId="0" xfId="0" applyFont="1" applyFill="1" applyAlignment="1">
      <alignment horizontal="center"/>
    </xf>
    <xf numFmtId="0" fontId="53" fillId="0" borderId="0" xfId="0" applyFont="1"/>
    <xf numFmtId="0" fontId="54" fillId="0" borderId="0" xfId="0" applyFont="1"/>
    <xf numFmtId="0" fontId="55" fillId="0" borderId="0" xfId="0" applyFont="1" applyAlignment="1">
      <alignment horizontal="center" wrapText="1"/>
    </xf>
    <xf numFmtId="0" fontId="55" fillId="0" borderId="0" xfId="0" applyFont="1" applyAlignment="1">
      <alignment horizontal="center"/>
    </xf>
    <xf numFmtId="0" fontId="55" fillId="0" borderId="0" xfId="0" applyFont="1" applyAlignment="1">
      <alignment horizontal="center" wrapText="1"/>
    </xf>
    <xf numFmtId="0" fontId="55" fillId="0" borderId="0" xfId="0" applyFont="1" applyAlignment="1">
      <alignment horizontal="center"/>
    </xf>
    <xf numFmtId="0" fontId="55" fillId="9" borderId="13" xfId="0" applyNumberFormat="1" applyFont="1" applyFill="1" applyBorder="1" applyAlignment="1" applyProtection="1">
      <alignment horizontal="left" vertical="center"/>
      <protection locked="0"/>
    </xf>
    <xf numFmtId="0" fontId="55" fillId="9" borderId="14" xfId="0" applyNumberFormat="1" applyFont="1" applyFill="1" applyBorder="1" applyAlignment="1" applyProtection="1">
      <alignment horizontal="left" vertical="center"/>
      <protection locked="0"/>
    </xf>
    <xf numFmtId="0" fontId="55" fillId="9" borderId="15" xfId="0" applyNumberFormat="1" applyFont="1" applyFill="1" applyBorder="1" applyAlignment="1" applyProtection="1">
      <alignment horizontal="left" vertical="center"/>
      <protection locked="0"/>
    </xf>
    <xf numFmtId="168" fontId="55" fillId="9" borderId="13" xfId="0" applyNumberFormat="1" applyFont="1" applyFill="1" applyBorder="1" applyAlignment="1" applyProtection="1">
      <alignment horizontal="left" vertical="center"/>
      <protection locked="0"/>
    </xf>
    <xf numFmtId="168" fontId="55" fillId="9" borderId="14" xfId="0" applyNumberFormat="1" applyFont="1" applyFill="1" applyBorder="1" applyAlignment="1" applyProtection="1">
      <alignment horizontal="left" vertical="center"/>
      <protection locked="0"/>
    </xf>
    <xf numFmtId="168" fontId="55" fillId="9" borderId="15" xfId="0" applyNumberFormat="1" applyFont="1" applyFill="1" applyBorder="1" applyAlignment="1" applyProtection="1">
      <alignment horizontal="left" vertical="center"/>
      <protection locked="0"/>
    </xf>
    <xf numFmtId="0" fontId="55" fillId="0" borderId="0" xfId="0" applyFont="1"/>
    <xf numFmtId="164" fontId="55" fillId="9" borderId="13" xfId="0" applyNumberFormat="1" applyFont="1" applyFill="1" applyBorder="1" applyAlignment="1" applyProtection="1">
      <alignment horizontal="left" vertical="center"/>
      <protection locked="0"/>
    </xf>
    <xf numFmtId="164" fontId="55" fillId="9" borderId="14" xfId="0" applyNumberFormat="1" applyFont="1" applyFill="1" applyBorder="1" applyAlignment="1" applyProtection="1">
      <alignment horizontal="left" vertical="center"/>
      <protection locked="0"/>
    </xf>
    <xf numFmtId="164" fontId="55" fillId="9" borderId="15" xfId="0" applyNumberFormat="1" applyFont="1" applyFill="1" applyBorder="1" applyAlignment="1" applyProtection="1">
      <alignment horizontal="left" vertical="center"/>
      <protection locked="0"/>
    </xf>
    <xf numFmtId="169" fontId="55" fillId="9" borderId="7" xfId="0" applyNumberFormat="1" applyFont="1" applyFill="1" applyBorder="1" applyProtection="1">
      <protection locked="0"/>
    </xf>
    <xf numFmtId="0" fontId="48" fillId="8" borderId="7" xfId="0" applyFont="1" applyFill="1" applyBorder="1" applyProtection="1">
      <protection locked="0"/>
    </xf>
    <xf numFmtId="0" fontId="48" fillId="8" borderId="11" xfId="0" applyFont="1" applyFill="1" applyBorder="1" applyProtection="1">
      <protection locked="0"/>
    </xf>
    <xf numFmtId="0" fontId="33" fillId="7" borderId="0" xfId="0" applyFont="1" applyFill="1"/>
    <xf numFmtId="0" fontId="34" fillId="7" borderId="0" xfId="0" applyFont="1" applyFill="1"/>
    <xf numFmtId="0" fontId="45" fillId="0" borderId="0" xfId="0" applyFont="1"/>
    <xf numFmtId="0" fontId="46" fillId="2" borderId="0" xfId="0" applyFont="1" applyFill="1"/>
    <xf numFmtId="0" fontId="38" fillId="2" borderId="0" xfId="0" applyFont="1" applyFill="1"/>
    <xf numFmtId="0" fontId="47" fillId="2" borderId="0" xfId="0" applyFont="1" applyFill="1"/>
    <xf numFmtId="0" fontId="48" fillId="2" borderId="1" xfId="0" applyFont="1" applyFill="1" applyBorder="1" applyAlignment="1">
      <alignment horizontal="right"/>
    </xf>
    <xf numFmtId="0" fontId="48" fillId="8" borderId="13" xfId="1" applyNumberFormat="1" applyFont="1" applyFill="1" applyBorder="1" applyAlignment="1" applyProtection="1">
      <alignment horizontal="left" vertical="center"/>
    </xf>
    <xf numFmtId="0" fontId="48" fillId="8" borderId="14" xfId="1" applyNumberFormat="1" applyFont="1" applyFill="1" applyBorder="1" applyAlignment="1" applyProtection="1">
      <alignment horizontal="left" vertical="center"/>
    </xf>
    <xf numFmtId="0" fontId="48" fillId="8" borderId="15" xfId="1" applyNumberFormat="1" applyFont="1" applyFill="1" applyBorder="1" applyAlignment="1" applyProtection="1">
      <alignment horizontal="left" vertical="center"/>
    </xf>
    <xf numFmtId="0" fontId="48" fillId="2" borderId="0" xfId="0" applyFont="1" applyFill="1"/>
    <xf numFmtId="0" fontId="47" fillId="2" borderId="0" xfId="0" applyFont="1" applyFill="1" applyAlignment="1">
      <alignment horizontal="left"/>
    </xf>
    <xf numFmtId="0" fontId="48" fillId="2" borderId="4" xfId="0" applyFont="1" applyFill="1" applyBorder="1" applyAlignment="1">
      <alignment horizontal="right"/>
    </xf>
    <xf numFmtId="164" fontId="48" fillId="8" borderId="7" xfId="0" applyNumberFormat="1" applyFont="1" applyFill="1" applyBorder="1" applyProtection="1">
      <protection locked="0"/>
    </xf>
    <xf numFmtId="0" fontId="48" fillId="2" borderId="0" xfId="0" applyFont="1" applyFill="1" applyAlignment="1">
      <alignment horizontal="right"/>
    </xf>
    <xf numFmtId="164" fontId="48" fillId="2" borderId="0" xfId="0" applyNumberFormat="1" applyFont="1" applyFill="1"/>
    <xf numFmtId="0" fontId="48" fillId="0" borderId="0" xfId="0" applyFont="1"/>
    <xf numFmtId="164" fontId="48" fillId="8" borderId="7" xfId="0" applyNumberFormat="1" applyFont="1" applyFill="1" applyBorder="1"/>
    <xf numFmtId="164" fontId="48" fillId="8" borderId="9" xfId="1" applyNumberFormat="1" applyFont="1" applyFill="1" applyBorder="1"/>
    <xf numFmtId="164" fontId="48" fillId="8" borderId="21" xfId="1" applyNumberFormat="1" applyFont="1" applyFill="1" applyBorder="1"/>
    <xf numFmtId="164" fontId="38" fillId="0" borderId="0" xfId="0" applyNumberFormat="1" applyFont="1"/>
    <xf numFmtId="0" fontId="48" fillId="8" borderId="9" xfId="0" applyFont="1" applyFill="1" applyBorder="1" applyProtection="1">
      <protection locked="0"/>
    </xf>
    <xf numFmtId="0" fontId="48" fillId="8" borderId="10" xfId="0" applyFont="1" applyFill="1" applyBorder="1" applyProtection="1">
      <protection locked="0"/>
    </xf>
    <xf numFmtId="164" fontId="48" fillId="0" borderId="0" xfId="0" applyNumberFormat="1" applyFont="1"/>
    <xf numFmtId="166" fontId="46" fillId="0" borderId="0" xfId="0" applyNumberFormat="1" applyFont="1"/>
    <xf numFmtId="44" fontId="45" fillId="0" borderId="0" xfId="1" applyFont="1"/>
    <xf numFmtId="164" fontId="47" fillId="2" borderId="0" xfId="0" applyNumberFormat="1" applyFont="1" applyFill="1"/>
    <xf numFmtId="164" fontId="48" fillId="2" borderId="12" xfId="0" applyNumberFormat="1" applyFont="1" applyFill="1" applyBorder="1"/>
    <xf numFmtId="0" fontId="56" fillId="2" borderId="0" xfId="0" applyFont="1" applyFill="1"/>
    <xf numFmtId="166" fontId="47" fillId="2" borderId="0" xfId="0" applyNumberFormat="1" applyFont="1" applyFill="1"/>
    <xf numFmtId="164" fontId="45" fillId="0" borderId="0" xfId="0" applyNumberFormat="1" applyFont="1"/>
    <xf numFmtId="0" fontId="47" fillId="2" borderId="0" xfId="0" applyFont="1" applyFill="1" applyBorder="1"/>
    <xf numFmtId="0" fontId="48" fillId="2" borderId="0" xfId="0" applyFont="1" applyFill="1" applyBorder="1"/>
    <xf numFmtId="0" fontId="48" fillId="7" borderId="13" xfId="0" applyFont="1" applyFill="1" applyBorder="1"/>
    <xf numFmtId="0" fontId="48" fillId="7" borderId="14" xfId="0" applyFont="1" applyFill="1" applyBorder="1"/>
    <xf numFmtId="0" fontId="48" fillId="7" borderId="15" xfId="0" applyFont="1" applyFill="1" applyBorder="1"/>
    <xf numFmtId="0" fontId="48" fillId="2" borderId="16" xfId="0" applyFont="1" applyFill="1" applyBorder="1" applyProtection="1">
      <protection locked="0"/>
    </xf>
    <xf numFmtId="0" fontId="48" fillId="2" borderId="0" xfId="0" applyFont="1" applyFill="1" applyProtection="1">
      <protection locked="0"/>
    </xf>
    <xf numFmtId="0" fontId="48" fillId="2" borderId="17" xfId="0" applyFont="1" applyFill="1" applyBorder="1" applyProtection="1">
      <protection locked="0"/>
    </xf>
    <xf numFmtId="0" fontId="48" fillId="2" borderId="4" xfId="0" applyFont="1" applyFill="1" applyBorder="1" applyProtection="1">
      <protection locked="0"/>
    </xf>
    <xf numFmtId="0" fontId="48" fillId="2" borderId="5" xfId="0" applyFont="1" applyFill="1" applyBorder="1" applyProtection="1">
      <protection locked="0"/>
    </xf>
    <xf numFmtId="0" fontId="48" fillId="2" borderId="6" xfId="0" applyFont="1" applyFill="1" applyBorder="1" applyProtection="1">
      <protection locked="0"/>
    </xf>
    <xf numFmtId="0" fontId="51" fillId="0" borderId="0" xfId="0" applyFont="1"/>
    <xf numFmtId="0" fontId="38" fillId="2" borderId="0" xfId="0" applyFont="1" applyFill="1" applyProtection="1">
      <protection locked="0"/>
    </xf>
    <xf numFmtId="164" fontId="48" fillId="8" borderId="8" xfId="1" applyNumberFormat="1" applyFont="1" applyFill="1" applyBorder="1" applyProtection="1">
      <protection locked="0"/>
    </xf>
    <xf numFmtId="0" fontId="57" fillId="7" borderId="0" xfId="0" applyFont="1" applyFill="1" applyProtection="1"/>
    <xf numFmtId="44" fontId="17" fillId="7" borderId="0" xfId="0" applyNumberFormat="1" applyFont="1" applyFill="1" applyProtection="1"/>
    <xf numFmtId="10" fontId="17" fillId="7" borderId="0" xfId="0" applyNumberFormat="1" applyFont="1" applyFill="1" applyProtection="1"/>
    <xf numFmtId="167" fontId="17" fillId="7" borderId="0" xfId="0" applyNumberFormat="1" applyFont="1" applyFill="1" applyProtection="1"/>
    <xf numFmtId="0" fontId="17" fillId="13" borderId="22" xfId="0" applyFont="1" applyFill="1" applyBorder="1" applyAlignment="1" applyProtection="1">
      <alignment horizontal="center" vertical="center"/>
    </xf>
    <xf numFmtId="44" fontId="17" fillId="13" borderId="23" xfId="0" applyNumberFormat="1" applyFont="1" applyFill="1" applyBorder="1" applyAlignment="1" applyProtection="1">
      <alignment horizontal="center" vertical="center"/>
    </xf>
    <xf numFmtId="10" fontId="17" fillId="13" borderId="23" xfId="0" applyNumberFormat="1" applyFont="1" applyFill="1" applyBorder="1" applyAlignment="1" applyProtection="1">
      <alignment horizontal="center" vertical="center"/>
    </xf>
    <xf numFmtId="167" fontId="17" fillId="13" borderId="23" xfId="0" applyNumberFormat="1" applyFont="1" applyFill="1" applyBorder="1" applyAlignment="1" applyProtection="1">
      <alignment horizontal="center" vertical="center" wrapText="1"/>
    </xf>
    <xf numFmtId="10" fontId="17" fillId="13" borderId="23" xfId="0" applyNumberFormat="1" applyFont="1" applyFill="1" applyBorder="1" applyAlignment="1" applyProtection="1">
      <alignment horizontal="center" vertical="center" wrapText="1"/>
    </xf>
    <xf numFmtId="44" fontId="17" fillId="13" borderId="24" xfId="0" applyNumberFormat="1" applyFont="1" applyFill="1" applyBorder="1" applyAlignment="1" applyProtection="1">
      <alignment horizontal="center" vertical="center" wrapText="1"/>
    </xf>
    <xf numFmtId="0" fontId="0" fillId="14" borderId="27" xfId="0" applyFill="1" applyBorder="1" applyProtection="1">
      <protection locked="0"/>
    </xf>
    <xf numFmtId="44" fontId="0" fillId="14" borderId="7" xfId="0" applyNumberFormat="1" applyFill="1" applyBorder="1" applyProtection="1">
      <protection locked="0"/>
    </xf>
    <xf numFmtId="10" fontId="0" fillId="14" borderId="7" xfId="0" applyNumberFormat="1" applyFill="1" applyBorder="1" applyProtection="1">
      <protection locked="0"/>
    </xf>
    <xf numFmtId="167" fontId="0" fillId="14" borderId="7" xfId="0" applyNumberFormat="1" applyFill="1" applyBorder="1" applyProtection="1">
      <protection locked="0"/>
    </xf>
    <xf numFmtId="44" fontId="0" fillId="14" borderId="28" xfId="0" applyNumberFormat="1" applyFill="1" applyBorder="1" applyProtection="1">
      <protection locked="0"/>
    </xf>
    <xf numFmtId="0" fontId="0" fillId="11" borderId="25" xfId="0" applyFill="1" applyBorder="1" applyProtection="1">
      <protection locked="0"/>
    </xf>
    <xf numFmtId="44" fontId="0" fillId="11" borderId="21" xfId="0" applyNumberFormat="1" applyFill="1" applyBorder="1" applyProtection="1">
      <protection locked="0"/>
    </xf>
    <xf numFmtId="10" fontId="0" fillId="11" borderId="21" xfId="0" applyNumberFormat="1" applyFill="1" applyBorder="1" applyProtection="1">
      <protection locked="0"/>
    </xf>
    <xf numFmtId="167" fontId="0" fillId="11" borderId="21" xfId="0" applyNumberFormat="1" applyFill="1" applyBorder="1" applyProtection="1">
      <protection locked="0"/>
    </xf>
    <xf numFmtId="44" fontId="0" fillId="11" borderId="26" xfId="0" applyNumberFormat="1" applyFill="1" applyBorder="1" applyProtection="1">
      <protection locked="0"/>
    </xf>
    <xf numFmtId="164" fontId="24" fillId="11" borderId="7" xfId="0" applyNumberFormat="1" applyFont="1" applyFill="1" applyBorder="1" applyProtection="1"/>
    <xf numFmtId="164" fontId="24" fillId="11" borderId="7" xfId="0" applyNumberFormat="1" applyFont="1" applyFill="1" applyBorder="1" applyProtection="1">
      <protection locked="0"/>
    </xf>
    <xf numFmtId="0" fontId="58" fillId="7" borderId="0" xfId="0" applyFont="1" applyFill="1" applyProtection="1"/>
    <xf numFmtId="164" fontId="58" fillId="7" borderId="0" xfId="0" applyNumberFormat="1" applyFont="1" applyFill="1" applyProtection="1"/>
    <xf numFmtId="0" fontId="20" fillId="8" borderId="5" xfId="0" applyFont="1" applyFill="1" applyBorder="1" applyProtection="1"/>
    <xf numFmtId="164" fontId="20" fillId="8" borderId="5" xfId="0" applyNumberFormat="1" applyFont="1" applyFill="1" applyBorder="1" applyProtection="1"/>
    <xf numFmtId="0" fontId="20" fillId="8" borderId="0" xfId="0" applyFont="1" applyFill="1" applyProtection="1"/>
    <xf numFmtId="164" fontId="20" fillId="8" borderId="0" xfId="0" applyNumberFormat="1" applyFont="1" applyFill="1" applyProtection="1"/>
    <xf numFmtId="0" fontId="20" fillId="15" borderId="0" xfId="0" applyFont="1" applyFill="1" applyProtection="1"/>
    <xf numFmtId="164" fontId="20" fillId="15" borderId="0" xfId="0" applyNumberFormat="1" applyFont="1" applyFill="1" applyProtection="1"/>
    <xf numFmtId="164" fontId="20" fillId="8" borderId="12" xfId="0" applyNumberFormat="1" applyFont="1" applyFill="1" applyBorder="1" applyProtection="1"/>
    <xf numFmtId="0" fontId="47" fillId="8" borderId="5" xfId="0" applyFont="1" applyFill="1" applyBorder="1" applyProtection="1"/>
    <xf numFmtId="164" fontId="47" fillId="8" borderId="5" xfId="0" applyNumberFormat="1" applyFont="1" applyFill="1" applyBorder="1" applyProtection="1"/>
    <xf numFmtId="0" fontId="47" fillId="8" borderId="0" xfId="0" applyFont="1" applyFill="1" applyProtection="1"/>
    <xf numFmtId="164" fontId="47" fillId="8" borderId="0" xfId="0" applyNumberFormat="1" applyFont="1" applyFill="1" applyProtection="1"/>
    <xf numFmtId="44" fontId="47" fillId="8" borderId="0" xfId="0" applyNumberFormat="1" applyFont="1" applyFill="1" applyProtection="1"/>
    <xf numFmtId="164" fontId="48" fillId="11" borderId="8" xfId="1" applyNumberFormat="1" applyFont="1" applyFill="1" applyBorder="1" applyProtection="1">
      <protection locked="0"/>
    </xf>
    <xf numFmtId="0" fontId="48" fillId="11" borderId="20" xfId="0" applyFont="1" applyFill="1" applyBorder="1" applyProtection="1">
      <protection locked="0"/>
    </xf>
    <xf numFmtId="0" fontId="48" fillId="11" borderId="11" xfId="0" applyFont="1" applyFill="1" applyBorder="1" applyProtection="1">
      <protection locked="0"/>
    </xf>
    <xf numFmtId="164" fontId="47" fillId="6" borderId="11" xfId="1" applyNumberFormat="1" applyFont="1" applyFill="1" applyBorder="1" applyProtection="1"/>
    <xf numFmtId="164" fontId="60" fillId="5" borderId="7" xfId="0" applyNumberFormat="1" applyFont="1" applyFill="1" applyBorder="1"/>
    <xf numFmtId="165" fontId="39" fillId="5" borderId="0" xfId="0" applyNumberFormat="1" applyFont="1" applyFill="1" applyBorder="1"/>
    <xf numFmtId="164" fontId="42" fillId="11" borderId="11" xfId="0" applyNumberFormat="1" applyFont="1" applyFill="1" applyBorder="1" applyProtection="1">
      <protection locked="0"/>
    </xf>
    <xf numFmtId="164" fontId="42" fillId="11" borderId="7" xfId="0" applyNumberFormat="1" applyFont="1" applyFill="1" applyBorder="1" applyProtection="1">
      <protection locked="0"/>
    </xf>
    <xf numFmtId="0" fontId="43" fillId="5" borderId="2" xfId="0" applyFont="1" applyFill="1" applyBorder="1" applyAlignment="1">
      <alignment horizontal="left" vertical="center"/>
    </xf>
    <xf numFmtId="0" fontId="43" fillId="5" borderId="3" xfId="0" applyFont="1" applyFill="1" applyBorder="1" applyAlignment="1">
      <alignment horizontal="left" vertical="center"/>
    </xf>
    <xf numFmtId="0" fontId="43" fillId="5" borderId="5" xfId="0" applyFont="1" applyFill="1" applyBorder="1" applyAlignment="1">
      <alignment horizontal="left" vertical="center"/>
    </xf>
    <xf numFmtId="0" fontId="43" fillId="5" borderId="6" xfId="0" applyFont="1" applyFill="1" applyBorder="1" applyAlignment="1">
      <alignment horizontal="left" vertical="center"/>
    </xf>
    <xf numFmtId="0" fontId="60" fillId="5" borderId="11" xfId="0" applyFont="1" applyFill="1" applyBorder="1" applyAlignment="1">
      <alignment horizontal="center" vertical="center"/>
    </xf>
    <xf numFmtId="0" fontId="39" fillId="11" borderId="0" xfId="0" applyFont="1" applyFill="1" applyBorder="1"/>
    <xf numFmtId="165" fontId="39" fillId="11" borderId="0" xfId="0" applyNumberFormat="1" applyFont="1" applyFill="1" applyBorder="1"/>
    <xf numFmtId="165" fontId="39" fillId="5" borderId="10" xfId="0" applyNumberFormat="1" applyFont="1" applyFill="1" applyBorder="1"/>
    <xf numFmtId="164" fontId="61" fillId="5" borderId="7" xfId="0" applyNumberFormat="1" applyFont="1" applyFill="1" applyBorder="1"/>
    <xf numFmtId="0" fontId="47" fillId="15" borderId="0" xfId="0" applyFont="1" applyFill="1" applyProtection="1"/>
    <xf numFmtId="44" fontId="47" fillId="15" borderId="0" xfId="0" applyNumberFormat="1" applyFont="1" applyFill="1" applyProtection="1"/>
    <xf numFmtId="164" fontId="47" fillId="15" borderId="0" xfId="0" applyNumberFormat="1" applyFont="1" applyFill="1" applyProtection="1"/>
    <xf numFmtId="0" fontId="2" fillId="5" borderId="0" xfId="0" applyFont="1" applyFill="1"/>
    <xf numFmtId="0" fontId="3" fillId="5" borderId="0" xfId="0" applyFont="1" applyFill="1"/>
    <xf numFmtId="0" fontId="32" fillId="5" borderId="1" xfId="0" applyFont="1" applyFill="1" applyBorder="1"/>
    <xf numFmtId="0" fontId="32" fillId="5" borderId="2" xfId="0" applyFont="1" applyFill="1" applyBorder="1" applyAlignment="1">
      <alignment horizontal="left" vertical="center"/>
    </xf>
    <xf numFmtId="0" fontId="32" fillId="5" borderId="3" xfId="0" applyFont="1" applyFill="1" applyBorder="1" applyAlignment="1">
      <alignment horizontal="left" vertical="center"/>
    </xf>
    <xf numFmtId="0" fontId="32" fillId="5" borderId="4" xfId="0" applyFont="1" applyFill="1" applyBorder="1"/>
    <xf numFmtId="0" fontId="32" fillId="5" borderId="5" xfId="0" applyFont="1" applyFill="1" applyBorder="1" applyAlignment="1">
      <alignment horizontal="left" vertical="center"/>
    </xf>
    <xf numFmtId="0" fontId="32" fillId="5" borderId="6" xfId="0" applyFont="1" applyFill="1" applyBorder="1" applyAlignment="1">
      <alignment horizontal="left" vertical="center"/>
    </xf>
    <xf numFmtId="0" fontId="3" fillId="5" borderId="0" xfId="0" applyFont="1" applyFill="1" applyBorder="1" applyAlignment="1" applyProtection="1">
      <alignment horizontal="center"/>
      <protection locked="0"/>
    </xf>
    <xf numFmtId="0" fontId="3" fillId="5" borderId="0" xfId="0" applyFont="1" applyFill="1" applyBorder="1"/>
    <xf numFmtId="0" fontId="3" fillId="5" borderId="0" xfId="0" applyFont="1" applyFill="1" applyBorder="1" applyAlignment="1">
      <alignment horizontal="center"/>
    </xf>
    <xf numFmtId="0" fontId="39" fillId="13" borderId="0" xfId="0" applyFont="1" applyFill="1"/>
    <xf numFmtId="0" fontId="39" fillId="5" borderId="0" xfId="0" applyFont="1" applyFill="1"/>
    <xf numFmtId="0" fontId="3" fillId="5" borderId="5" xfId="0" applyFont="1" applyFill="1" applyBorder="1"/>
    <xf numFmtId="0" fontId="3" fillId="5" borderId="6" xfId="0" applyFont="1" applyFill="1" applyBorder="1"/>
    <xf numFmtId="0" fontId="3" fillId="5" borderId="11" xfId="0" applyFont="1" applyFill="1" applyBorder="1" applyAlignment="1">
      <alignment horizontal="center" vertical="center"/>
    </xf>
    <xf numFmtId="0" fontId="9" fillId="5" borderId="0" xfId="0" applyFont="1" applyFill="1" applyBorder="1"/>
    <xf numFmtId="0" fontId="11" fillId="5" borderId="0" xfId="0" applyFont="1" applyFill="1" applyBorder="1"/>
    <xf numFmtId="0" fontId="3" fillId="5" borderId="7" xfId="0" applyFont="1" applyFill="1" applyBorder="1" applyAlignment="1">
      <alignment horizontal="center" vertical="center"/>
    </xf>
    <xf numFmtId="165" fontId="9" fillId="5" borderId="0" xfId="0" applyNumberFormat="1" applyFont="1" applyFill="1" applyBorder="1"/>
    <xf numFmtId="164" fontId="3" fillId="5" borderId="7" xfId="0" applyNumberFormat="1" applyFont="1" applyFill="1" applyBorder="1" applyProtection="1">
      <protection locked="0"/>
    </xf>
    <xf numFmtId="164" fontId="3" fillId="5" borderId="7" xfId="0" applyNumberFormat="1" applyFont="1" applyFill="1" applyBorder="1"/>
    <xf numFmtId="165" fontId="9" fillId="5" borderId="10" xfId="0" applyNumberFormat="1" applyFont="1" applyFill="1" applyBorder="1"/>
    <xf numFmtId="164" fontId="3" fillId="5" borderId="0" xfId="0" applyNumberFormat="1" applyFont="1" applyFill="1" applyBorder="1"/>
    <xf numFmtId="165" fontId="11" fillId="5" borderId="0" xfId="0" applyNumberFormat="1" applyFont="1" applyFill="1" applyBorder="1"/>
    <xf numFmtId="0" fontId="2" fillId="5" borderId="0" xfId="0" applyFont="1" applyFill="1" applyAlignment="1">
      <alignment horizontal="right"/>
    </xf>
    <xf numFmtId="0" fontId="3" fillId="8" borderId="11" xfId="0" applyFont="1" applyFill="1" applyBorder="1" applyAlignment="1">
      <alignment horizontal="center" vertical="center"/>
    </xf>
    <xf numFmtId="164" fontId="3" fillId="8" borderId="11" xfId="0" applyNumberFormat="1" applyFont="1" applyFill="1" applyBorder="1" applyProtection="1">
      <protection locked="0"/>
    </xf>
  </cellXfs>
  <cellStyles count="2">
    <cellStyle name="Standaard" xfId="0" builtinId="0"/>
    <cellStyle name="Valuta" xfId="1" builtinId="4"/>
  </cellStyles>
  <dxfs count="0"/>
  <tableStyles count="0" defaultTableStyle="TableStyleMedium2" defaultPivotStyle="PivotStyleLight16"/>
  <colors>
    <mruColors>
      <color rgb="FF87418C"/>
      <color rgb="FFFF6699"/>
      <color rgb="FFF4F9D7"/>
      <color rgb="FF169A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4B822-4556-443D-B6EF-FADC07A434AE}">
  <sheetPr>
    <tabColor rgb="FF87418C"/>
  </sheetPr>
  <dimension ref="A1:I17"/>
  <sheetViews>
    <sheetView showGridLines="0" workbookViewId="0">
      <selection activeCell="G49" sqref="G49"/>
    </sheetView>
  </sheetViews>
  <sheetFormatPr defaultRowHeight="14.4" x14ac:dyDescent="0.3"/>
  <cols>
    <col min="1" max="2" width="8.88671875" style="133"/>
    <col min="3" max="3" width="12.109375" style="133" customWidth="1"/>
    <col min="4" max="4" width="8.88671875" style="133"/>
    <col min="5" max="5" width="12.5546875" style="133" customWidth="1"/>
    <col min="6" max="6" width="12.44140625" style="133" customWidth="1"/>
    <col min="7" max="7" width="10.33203125" style="133" customWidth="1"/>
    <col min="8" max="16384" width="8.88671875" style="133"/>
  </cols>
  <sheetData>
    <row r="1" spans="1:9" ht="20.399999999999999" customHeight="1" x14ac:dyDescent="0.3"/>
    <row r="2" spans="1:9" s="220" customFormat="1" ht="20.399999999999999" customHeight="1" x14ac:dyDescent="0.4">
      <c r="A2" s="219" t="s">
        <v>68</v>
      </c>
      <c r="B2" s="219"/>
      <c r="C2" s="219"/>
      <c r="D2" s="219"/>
      <c r="E2" s="219"/>
      <c r="F2" s="219"/>
      <c r="G2" s="219"/>
      <c r="H2" s="219"/>
      <c r="I2" s="219"/>
    </row>
    <row r="3" spans="1:9" s="221" customFormat="1" ht="20.399999999999999" customHeight="1" x14ac:dyDescent="0.4"/>
    <row r="4" spans="1:9" s="221" customFormat="1" ht="39.6" customHeight="1" x14ac:dyDescent="0.4">
      <c r="B4" s="222" t="s">
        <v>131</v>
      </c>
      <c r="C4" s="223"/>
      <c r="D4" s="223"/>
      <c r="E4" s="223"/>
      <c r="F4" s="223"/>
      <c r="G4" s="223"/>
      <c r="H4" s="223"/>
    </row>
    <row r="5" spans="1:9" s="221" customFormat="1" ht="20.399999999999999" customHeight="1" x14ac:dyDescent="0.4">
      <c r="B5" s="224"/>
      <c r="C5" s="225"/>
      <c r="D5" s="225"/>
      <c r="E5" s="225"/>
      <c r="F5" s="225"/>
      <c r="G5" s="225"/>
      <c r="H5" s="225"/>
    </row>
    <row r="6" spans="1:9" s="221" customFormat="1" ht="20.399999999999999" customHeight="1" x14ac:dyDescent="0.4">
      <c r="B6" s="224"/>
      <c r="C6" s="225" t="s">
        <v>133</v>
      </c>
      <c r="D6" s="226"/>
      <c r="E6" s="227"/>
      <c r="F6" s="227"/>
      <c r="G6" s="227"/>
      <c r="H6" s="228"/>
    </row>
    <row r="7" spans="1:9" s="221" customFormat="1" ht="20.399999999999999" customHeight="1" x14ac:dyDescent="0.4"/>
    <row r="8" spans="1:9" s="221" customFormat="1" ht="20.399999999999999" customHeight="1" x14ac:dyDescent="0.4">
      <c r="C8" s="225" t="s">
        <v>134</v>
      </c>
      <c r="D8" s="229"/>
      <c r="E8" s="230"/>
      <c r="F8" s="230"/>
      <c r="G8" s="230"/>
      <c r="H8" s="231"/>
    </row>
    <row r="9" spans="1:9" s="221" customFormat="1" ht="20.399999999999999" customHeight="1" x14ac:dyDescent="0.4"/>
    <row r="10" spans="1:9" s="221" customFormat="1" ht="20.399999999999999" customHeight="1" x14ac:dyDescent="0.4">
      <c r="B10" s="232" t="s">
        <v>69</v>
      </c>
      <c r="F10" s="225" t="s">
        <v>132</v>
      </c>
      <c r="G10" s="232">
        <f>LARGE(Percentages!A4:A35,1)</f>
        <v>2021</v>
      </c>
    </row>
    <row r="11" spans="1:9" s="221" customFormat="1" ht="20.399999999999999" customHeight="1" x14ac:dyDescent="0.4"/>
    <row r="12" spans="1:9" s="221" customFormat="1" ht="20.399999999999999" customHeight="1" x14ac:dyDescent="0.4">
      <c r="B12" s="232" t="s">
        <v>123</v>
      </c>
      <c r="D12" s="233"/>
      <c r="E12" s="234"/>
      <c r="F12" s="234"/>
      <c r="G12" s="234"/>
      <c r="H12" s="235"/>
    </row>
    <row r="13" spans="1:9" s="221" customFormat="1" ht="20.399999999999999" customHeight="1" x14ac:dyDescent="0.4"/>
    <row r="14" spans="1:9" s="221" customFormat="1" ht="20.399999999999999" customHeight="1" x14ac:dyDescent="0.4"/>
    <row r="15" spans="1:9" s="221" customFormat="1" ht="20.399999999999999" customHeight="1" x14ac:dyDescent="0.4">
      <c r="C15" s="232" t="s">
        <v>66</v>
      </c>
      <c r="F15" s="236">
        <v>2021</v>
      </c>
      <c r="H15" s="232" t="str">
        <f>IF(F15&lt;2011,"Onbekend jaar",IF(F15=H17," ","Onbekend jaar"))</f>
        <v xml:space="preserve"> </v>
      </c>
    </row>
    <row r="16" spans="1:9" s="221" customFormat="1" ht="13.8" customHeight="1" x14ac:dyDescent="0.4"/>
    <row r="17" spans="8:8" x14ac:dyDescent="0.3">
      <c r="H17" s="20">
        <f>VLOOKUP(F15,Percentages!A4:G35,1)</f>
        <v>2021</v>
      </c>
    </row>
  </sheetData>
  <sheetProtection algorithmName="SHA-512" hashValue="sxA/cLQkLE9lTyYBOCTXgRM9ZUt25TnF6hlNScRzl2OsL4Zu1xT/Ix5QQos3Veik33O3+gEQ4cNH2xQ9JzUl8g==" saltValue="pSrdlFkvTvaeHSJxXc+yFA==" spinCount="100000" sheet="1" objects="1" scenarios="1"/>
  <mergeCells count="5">
    <mergeCell ref="D12:H12"/>
    <mergeCell ref="B4:H4"/>
    <mergeCell ref="A2:I2"/>
    <mergeCell ref="D6:H6"/>
    <mergeCell ref="D8:H8"/>
  </mergeCell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1"/>
  <sheetViews>
    <sheetView workbookViewId="0">
      <selection activeCell="C3" sqref="C3"/>
    </sheetView>
  </sheetViews>
  <sheetFormatPr defaultRowHeight="14.4" x14ac:dyDescent="0.3"/>
  <cols>
    <col min="1" max="1" width="32.44140625" customWidth="1"/>
    <col min="2" max="2" width="15.44140625" customWidth="1"/>
    <col min="3" max="3" width="11.44140625" bestFit="1" customWidth="1"/>
    <col min="4" max="4" width="2.109375" customWidth="1"/>
    <col min="5" max="5" width="2.5546875" customWidth="1"/>
    <col min="6" max="6" width="10.5546875" bestFit="1" customWidth="1"/>
  </cols>
  <sheetData>
    <row r="1" spans="1:8" x14ac:dyDescent="0.3">
      <c r="A1" t="s">
        <v>67</v>
      </c>
      <c r="B1">
        <f>JAAR!F15</f>
        <v>2021</v>
      </c>
    </row>
    <row r="3" spans="1:8" x14ac:dyDescent="0.3">
      <c r="A3" t="s">
        <v>48</v>
      </c>
      <c r="B3" t="s">
        <v>49</v>
      </c>
      <c r="C3" s="18">
        <f>VLOOKUP(B1,Percentages!A4:G35,2)</f>
        <v>2837</v>
      </c>
      <c r="F3" s="18">
        <f>C3/12</f>
        <v>236.41666666666666</v>
      </c>
      <c r="G3" s="16"/>
    </row>
    <row r="4" spans="1:8" x14ac:dyDescent="0.3">
      <c r="B4" t="s">
        <v>50</v>
      </c>
      <c r="C4" s="18">
        <f>C3</f>
        <v>2837</v>
      </c>
      <c r="G4" s="16"/>
    </row>
    <row r="5" spans="1:8" ht="6" customHeight="1" x14ac:dyDescent="0.3"/>
    <row r="6" spans="1:8" x14ac:dyDescent="0.3">
      <c r="A6" t="s">
        <v>51</v>
      </c>
      <c r="C6" s="13">
        <f>VLOOKUP(B1,Percentages!A4:G11,3)</f>
        <v>0.36549999999999999</v>
      </c>
    </row>
    <row r="7" spans="1:8" x14ac:dyDescent="0.3">
      <c r="A7" t="s">
        <v>52</v>
      </c>
      <c r="C7" s="14">
        <v>0.34777999999999998</v>
      </c>
    </row>
    <row r="8" spans="1:8" ht="7.5" customHeight="1" x14ac:dyDescent="0.3">
      <c r="C8" s="14"/>
    </row>
    <row r="9" spans="1:8" x14ac:dyDescent="0.3">
      <c r="A9" t="s">
        <v>53</v>
      </c>
    </row>
    <row r="10" spans="1:8" x14ac:dyDescent="0.3">
      <c r="A10" t="s">
        <v>54</v>
      </c>
      <c r="C10" s="13">
        <v>0.62960000000000005</v>
      </c>
    </row>
    <row r="11" spans="1:8" ht="7.5" customHeight="1" x14ac:dyDescent="0.3"/>
    <row r="12" spans="1:8" x14ac:dyDescent="0.3">
      <c r="A12" t="s">
        <v>55</v>
      </c>
      <c r="C12" s="13">
        <f>VLOOKUP(B1,Percentages!A4:G35,5)</f>
        <v>0.58979999999999999</v>
      </c>
      <c r="F12" s="12" t="str">
        <f>"x "&amp;C12*100&amp;"% (E)"</f>
        <v>x 58,98% (E)</v>
      </c>
    </row>
    <row r="13" spans="1:8" x14ac:dyDescent="0.3">
      <c r="A13" t="s">
        <v>56</v>
      </c>
      <c r="C13" s="13">
        <f>VLOOKUP(B1,Percentages!A4:G35,6)</f>
        <v>7.0000000000000007E-2</v>
      </c>
      <c r="F13" s="12" t="str">
        <f>"x "&amp;C13*100&amp;"% (E)"</f>
        <v>x 7% (E)</v>
      </c>
      <c r="H13" s="17"/>
    </row>
    <row r="14" spans="1:8" ht="7.5" customHeight="1" x14ac:dyDescent="0.3"/>
    <row r="15" spans="1:8" x14ac:dyDescent="0.3">
      <c r="A15" t="s">
        <v>57</v>
      </c>
    </row>
    <row r="16" spans="1:8" ht="6" customHeight="1" x14ac:dyDescent="0.3"/>
    <row r="17" spans="1:6" x14ac:dyDescent="0.3">
      <c r="A17" t="s">
        <v>58</v>
      </c>
      <c r="C17" s="13">
        <f>VLOOKUP(B1,Percentages!A4:G35,6)</f>
        <v>7.0000000000000007E-2</v>
      </c>
      <c r="F17" s="13" t="str">
        <f>C17*100&amp;"% x (H)"</f>
        <v>7% x (H)</v>
      </c>
    </row>
    <row r="18" spans="1:6" ht="7.5" customHeight="1" x14ac:dyDescent="0.3"/>
    <row r="19" spans="1:6" x14ac:dyDescent="0.3">
      <c r="A19" t="s">
        <v>59</v>
      </c>
      <c r="C19" s="13">
        <f>VLOOKUP(B1,Percentages!A4:G35,6)</f>
        <v>7.0000000000000007E-2</v>
      </c>
      <c r="F19" s="10" t="str">
        <f>C19*100&amp;"% (H) x"</f>
        <v>7% (H) x</v>
      </c>
    </row>
    <row r="20" spans="1:6" ht="6.75" customHeight="1" x14ac:dyDescent="0.3"/>
    <row r="21" spans="1:6" x14ac:dyDescent="0.3">
      <c r="A21" t="s">
        <v>60</v>
      </c>
      <c r="C21" s="18">
        <f>VLOOKUP(B1,Percentages!A4:G35,7)</f>
        <v>58311</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1D999-1618-4D7D-9F52-62AFD1A5AB5F}">
  <sheetPr>
    <tabColor rgb="FF002060"/>
  </sheetPr>
  <dimension ref="A1:K54"/>
  <sheetViews>
    <sheetView topLeftCell="A7" zoomScale="130" zoomScaleNormal="130" workbookViewId="0">
      <selection activeCell="A13" sqref="A13"/>
    </sheetView>
  </sheetViews>
  <sheetFormatPr defaultRowHeight="14.4" x14ac:dyDescent="0.3"/>
  <cols>
    <col min="1" max="1" width="25.33203125" customWidth="1"/>
    <col min="2" max="2" width="11.88671875" customWidth="1"/>
    <col min="3" max="3" width="6.33203125" customWidth="1"/>
    <col min="4" max="4" width="11.88671875" customWidth="1"/>
    <col min="5" max="5" width="3" customWidth="1"/>
    <col min="6" max="6" width="5.6640625" customWidth="1"/>
    <col min="7" max="7" width="11" customWidth="1"/>
    <col min="8" max="8" width="10.6640625" customWidth="1"/>
    <col min="9" max="9" width="11" customWidth="1"/>
  </cols>
  <sheetData>
    <row r="1" spans="1:8" ht="22.8" x14ac:dyDescent="0.4">
      <c r="A1" s="134" t="str">
        <f>"Bepaling elders gebruikte Ahk "&amp;JAAR!F15</f>
        <v>Bepaling elders gebruikte Ahk 2021</v>
      </c>
      <c r="B1" s="135"/>
      <c r="C1" s="135"/>
      <c r="D1" s="135"/>
      <c r="E1" s="135"/>
      <c r="F1" s="135"/>
      <c r="G1" s="135"/>
      <c r="H1" s="135"/>
    </row>
    <row r="2" spans="1:8" s="2" customFormat="1" ht="13.2" x14ac:dyDescent="0.25">
      <c r="A2" s="136"/>
      <c r="B2" s="137"/>
      <c r="C2" s="137"/>
      <c r="D2" s="137"/>
      <c r="E2" s="137"/>
      <c r="F2" s="137"/>
      <c r="G2" s="137"/>
      <c r="H2" s="137"/>
    </row>
    <row r="3" spans="1:8" s="2" customFormat="1" ht="20.25" customHeight="1" x14ac:dyDescent="0.25">
      <c r="A3" s="138" t="s">
        <v>47</v>
      </c>
      <c r="B3" s="139">
        <f>JAAR!D6</f>
        <v>0</v>
      </c>
      <c r="C3" s="139"/>
      <c r="D3" s="139"/>
      <c r="E3" s="139"/>
      <c r="F3" s="140"/>
      <c r="G3" s="137"/>
      <c r="H3" s="137"/>
    </row>
    <row r="4" spans="1:8" s="2" customFormat="1" ht="20.25" customHeight="1" x14ac:dyDescent="0.25">
      <c r="A4" s="141" t="s">
        <v>12</v>
      </c>
      <c r="B4" s="142">
        <f>JAAR!D8</f>
        <v>0</v>
      </c>
      <c r="C4" s="142"/>
      <c r="D4" s="142"/>
      <c r="E4" s="142"/>
      <c r="F4" s="143"/>
      <c r="G4" s="137"/>
      <c r="H4" s="137"/>
    </row>
    <row r="5" spans="1:8" x14ac:dyDescent="0.3">
      <c r="A5" s="137"/>
      <c r="B5" s="137"/>
      <c r="C5" s="137"/>
      <c r="D5" s="137"/>
      <c r="E5" s="137"/>
      <c r="F5" s="137"/>
      <c r="G5" s="137"/>
      <c r="H5" s="137"/>
    </row>
    <row r="6" spans="1:8" x14ac:dyDescent="0.3">
      <c r="A6" s="137"/>
      <c r="B6" s="137"/>
      <c r="C6" s="137"/>
      <c r="D6" s="137"/>
      <c r="E6" s="144"/>
      <c r="F6" s="137"/>
      <c r="G6" s="137"/>
      <c r="H6" s="137"/>
    </row>
    <row r="7" spans="1:8" x14ac:dyDescent="0.3">
      <c r="A7" s="137" t="s">
        <v>13</v>
      </c>
      <c r="B7" s="137"/>
      <c r="C7" s="137"/>
      <c r="D7" s="137"/>
      <c r="E7" s="137"/>
      <c r="F7" s="137"/>
      <c r="G7" s="137"/>
      <c r="H7" s="137"/>
    </row>
    <row r="8" spans="1:8" x14ac:dyDescent="0.3">
      <c r="A8" s="137" t="s">
        <v>142</v>
      </c>
      <c r="B8" s="137"/>
      <c r="C8" s="137"/>
      <c r="D8" s="137"/>
      <c r="E8" s="137"/>
      <c r="F8" s="145"/>
      <c r="G8" s="137"/>
      <c r="H8" s="137"/>
    </row>
    <row r="9" spans="1:8" x14ac:dyDescent="0.3">
      <c r="A9" s="137" t="s">
        <v>15</v>
      </c>
      <c r="B9" s="137"/>
      <c r="C9" s="137"/>
      <c r="D9" s="137"/>
      <c r="E9" s="146"/>
      <c r="F9" s="137"/>
      <c r="G9" s="137"/>
      <c r="H9" s="137"/>
    </row>
    <row r="10" spans="1:8" x14ac:dyDescent="0.3">
      <c r="A10" s="137" t="s">
        <v>143</v>
      </c>
      <c r="B10" s="137"/>
      <c r="C10" s="137"/>
      <c r="D10" s="137"/>
      <c r="E10" s="146"/>
      <c r="F10" s="137"/>
      <c r="G10" s="137"/>
      <c r="H10" s="137"/>
    </row>
    <row r="11" spans="1:8" x14ac:dyDescent="0.3">
      <c r="A11" s="137" t="s">
        <v>128</v>
      </c>
      <c r="B11" s="137"/>
      <c r="C11" s="137"/>
      <c r="D11" s="137"/>
      <c r="E11" s="146"/>
      <c r="F11" s="137"/>
      <c r="G11" s="137"/>
      <c r="H11" s="137"/>
    </row>
    <row r="12" spans="1:8" x14ac:dyDescent="0.3">
      <c r="A12" s="137" t="s">
        <v>129</v>
      </c>
      <c r="B12" s="137"/>
      <c r="C12" s="137"/>
      <c r="D12" s="137"/>
      <c r="E12" s="137"/>
      <c r="F12" s="137"/>
      <c r="G12" s="137"/>
      <c r="H12" s="137"/>
    </row>
    <row r="13" spans="1:8" x14ac:dyDescent="0.3">
      <c r="A13" s="137" t="s">
        <v>130</v>
      </c>
      <c r="B13" s="137"/>
      <c r="C13" s="137"/>
      <c r="D13" s="137"/>
      <c r="E13" s="137"/>
      <c r="F13" s="137"/>
      <c r="G13" s="137"/>
      <c r="H13" s="137"/>
    </row>
    <row r="14" spans="1:8" x14ac:dyDescent="0.3">
      <c r="A14" s="137"/>
      <c r="B14" s="137"/>
      <c r="C14" s="137"/>
      <c r="D14" s="137"/>
      <c r="E14" s="137"/>
      <c r="F14" s="137"/>
      <c r="G14" s="137"/>
      <c r="H14" s="137"/>
    </row>
    <row r="15" spans="1:8" x14ac:dyDescent="0.3">
      <c r="A15" s="137"/>
      <c r="B15" s="137"/>
      <c r="C15" s="137"/>
      <c r="D15" s="137"/>
      <c r="E15" s="137"/>
      <c r="F15" s="137"/>
      <c r="G15" s="137"/>
      <c r="H15" s="137"/>
    </row>
    <row r="16" spans="1:8" x14ac:dyDescent="0.3">
      <c r="A16" s="137"/>
      <c r="B16" s="137"/>
      <c r="C16" s="137"/>
      <c r="D16" s="137"/>
      <c r="E16" s="137"/>
      <c r="F16" s="137"/>
      <c r="G16" s="137"/>
      <c r="H16" s="137"/>
    </row>
    <row r="17" spans="1:11" x14ac:dyDescent="0.3">
      <c r="A17" s="137"/>
      <c r="B17" s="147"/>
      <c r="C17" s="137"/>
      <c r="D17" s="147"/>
      <c r="E17" s="137"/>
      <c r="F17" s="137"/>
      <c r="G17" s="137"/>
      <c r="H17" s="137"/>
    </row>
    <row r="18" spans="1:11" x14ac:dyDescent="0.3">
      <c r="A18" s="148" t="s">
        <v>16</v>
      </c>
      <c r="B18" s="149" t="s">
        <v>17</v>
      </c>
      <c r="C18" s="157" t="s">
        <v>18</v>
      </c>
      <c r="D18" s="149" t="s">
        <v>19</v>
      </c>
      <c r="E18" s="157" t="s">
        <v>18</v>
      </c>
      <c r="F18" s="157"/>
      <c r="G18" s="150" t="s">
        <v>62</v>
      </c>
      <c r="H18" s="137"/>
    </row>
    <row r="19" spans="1:11" x14ac:dyDescent="0.3">
      <c r="A19" s="137" t="s">
        <v>20</v>
      </c>
      <c r="B19" s="155">
        <v>0</v>
      </c>
      <c r="C19" s="151">
        <f>FLOOR(B19,4.5)</f>
        <v>0</v>
      </c>
      <c r="D19" s="156">
        <v>0</v>
      </c>
      <c r="E19" s="325">
        <f>FLOOR(D19,4.5)</f>
        <v>0</v>
      </c>
      <c r="F19" s="145"/>
      <c r="G19" s="152">
        <f>Berekeningen!E30</f>
        <v>0</v>
      </c>
      <c r="H19" s="137"/>
    </row>
    <row r="20" spans="1:11" x14ac:dyDescent="0.3">
      <c r="A20" s="137" t="s">
        <v>21</v>
      </c>
      <c r="B20" s="155">
        <v>0</v>
      </c>
      <c r="C20" s="153">
        <f t="shared" ref="C20:C30" si="0">FLOOR(B20,4.5)</f>
        <v>0</v>
      </c>
      <c r="D20" s="156">
        <v>0</v>
      </c>
      <c r="E20" s="325">
        <f t="shared" ref="E20:E30" si="1">FLOOR(D20,4.5)</f>
        <v>0</v>
      </c>
      <c r="F20" s="145"/>
      <c r="G20" s="152">
        <f>Berekeningen!E31</f>
        <v>0</v>
      </c>
      <c r="H20" s="137"/>
    </row>
    <row r="21" spans="1:11" x14ac:dyDescent="0.3">
      <c r="A21" s="137" t="s">
        <v>22</v>
      </c>
      <c r="B21" s="155">
        <v>0</v>
      </c>
      <c r="C21" s="153">
        <f t="shared" si="0"/>
        <v>0</v>
      </c>
      <c r="D21" s="156">
        <v>0</v>
      </c>
      <c r="E21" s="325">
        <f t="shared" si="1"/>
        <v>0</v>
      </c>
      <c r="F21" s="145"/>
      <c r="G21" s="152">
        <f>Berekeningen!E32</f>
        <v>0</v>
      </c>
      <c r="H21" s="137"/>
      <c r="K21" s="5"/>
    </row>
    <row r="22" spans="1:11" x14ac:dyDescent="0.3">
      <c r="A22" s="137" t="s">
        <v>23</v>
      </c>
      <c r="B22" s="155">
        <v>0</v>
      </c>
      <c r="C22" s="153">
        <f>FLOOR(B22,4.5)</f>
        <v>0</v>
      </c>
      <c r="D22" s="156">
        <v>0</v>
      </c>
      <c r="E22" s="325">
        <f t="shared" si="1"/>
        <v>0</v>
      </c>
      <c r="F22" s="145"/>
      <c r="G22" s="152">
        <f>Berekeningen!E33</f>
        <v>0</v>
      </c>
      <c r="H22" s="137"/>
    </row>
    <row r="23" spans="1:11" x14ac:dyDescent="0.3">
      <c r="A23" s="137" t="s">
        <v>24</v>
      </c>
      <c r="B23" s="155">
        <v>0</v>
      </c>
      <c r="C23" s="153">
        <f>FLOOR(B23,4.5)</f>
        <v>0</v>
      </c>
      <c r="D23" s="156">
        <v>0</v>
      </c>
      <c r="E23" s="325">
        <f t="shared" si="1"/>
        <v>0</v>
      </c>
      <c r="F23" s="145"/>
      <c r="G23" s="152">
        <f>Berekeningen!E34</f>
        <v>0</v>
      </c>
      <c r="H23" s="137"/>
      <c r="K23" s="5"/>
    </row>
    <row r="24" spans="1:11" x14ac:dyDescent="0.3">
      <c r="A24" s="137" t="s">
        <v>25</v>
      </c>
      <c r="B24" s="155">
        <v>0</v>
      </c>
      <c r="C24" s="153">
        <f t="shared" si="0"/>
        <v>0</v>
      </c>
      <c r="D24" s="156">
        <v>0</v>
      </c>
      <c r="E24" s="325">
        <f t="shared" si="1"/>
        <v>0</v>
      </c>
      <c r="F24" s="145"/>
      <c r="G24" s="152">
        <f>Berekeningen!E35</f>
        <v>0</v>
      </c>
      <c r="H24" s="137"/>
    </row>
    <row r="25" spans="1:11" x14ac:dyDescent="0.3">
      <c r="A25" s="137" t="s">
        <v>26</v>
      </c>
      <c r="B25" s="155">
        <v>0</v>
      </c>
      <c r="C25" s="153">
        <f t="shared" si="0"/>
        <v>0</v>
      </c>
      <c r="D25" s="156">
        <v>0</v>
      </c>
      <c r="E25" s="325">
        <f t="shared" si="1"/>
        <v>0</v>
      </c>
      <c r="F25" s="145"/>
      <c r="G25" s="152">
        <f>Berekeningen!E36</f>
        <v>0</v>
      </c>
      <c r="H25" s="137"/>
    </row>
    <row r="26" spans="1:11" x14ac:dyDescent="0.3">
      <c r="A26" s="137" t="s">
        <v>27</v>
      </c>
      <c r="B26" s="155">
        <v>0</v>
      </c>
      <c r="C26" s="153">
        <f t="shared" si="0"/>
        <v>0</v>
      </c>
      <c r="D26" s="156">
        <v>0</v>
      </c>
      <c r="E26" s="325">
        <f t="shared" si="1"/>
        <v>0</v>
      </c>
      <c r="F26" s="145"/>
      <c r="G26" s="152">
        <f>Berekeningen!E37</f>
        <v>0</v>
      </c>
      <c r="H26" s="137"/>
    </row>
    <row r="27" spans="1:11" x14ac:dyDescent="0.3">
      <c r="A27" s="137" t="s">
        <v>28</v>
      </c>
      <c r="B27" s="155">
        <v>0</v>
      </c>
      <c r="C27" s="153">
        <f t="shared" si="0"/>
        <v>0</v>
      </c>
      <c r="D27" s="156">
        <v>0</v>
      </c>
      <c r="E27" s="325">
        <f t="shared" si="1"/>
        <v>0</v>
      </c>
      <c r="F27" s="145"/>
      <c r="G27" s="152">
        <f>Berekeningen!E38</f>
        <v>0</v>
      </c>
      <c r="H27" s="137"/>
    </row>
    <row r="28" spans="1:11" x14ac:dyDescent="0.3">
      <c r="A28" s="137" t="s">
        <v>29</v>
      </c>
      <c r="B28" s="155">
        <v>0</v>
      </c>
      <c r="C28" s="153">
        <f t="shared" si="0"/>
        <v>0</v>
      </c>
      <c r="D28" s="156">
        <v>0</v>
      </c>
      <c r="E28" s="325">
        <f t="shared" si="1"/>
        <v>0</v>
      </c>
      <c r="F28" s="145"/>
      <c r="G28" s="152">
        <f>Berekeningen!E39</f>
        <v>0</v>
      </c>
      <c r="H28" s="137"/>
    </row>
    <row r="29" spans="1:11" x14ac:dyDescent="0.3">
      <c r="A29" s="137" t="s">
        <v>30</v>
      </c>
      <c r="B29" s="155">
        <v>0</v>
      </c>
      <c r="C29" s="153">
        <f t="shared" si="0"/>
        <v>0</v>
      </c>
      <c r="D29" s="156">
        <v>0</v>
      </c>
      <c r="E29" s="325">
        <f t="shared" si="1"/>
        <v>0</v>
      </c>
      <c r="F29" s="145"/>
      <c r="G29" s="152">
        <f>Berekeningen!E40</f>
        <v>0</v>
      </c>
      <c r="H29" s="137"/>
    </row>
    <row r="30" spans="1:11" x14ac:dyDescent="0.3">
      <c r="A30" s="137" t="s">
        <v>31</v>
      </c>
      <c r="B30" s="155">
        <v>0</v>
      </c>
      <c r="C30" s="153">
        <f t="shared" si="0"/>
        <v>0</v>
      </c>
      <c r="D30" s="156">
        <v>0</v>
      </c>
      <c r="E30" s="325">
        <f t="shared" si="1"/>
        <v>0</v>
      </c>
      <c r="F30" s="145"/>
      <c r="G30" s="152">
        <f>Berekeningen!E41</f>
        <v>0</v>
      </c>
      <c r="H30" s="137"/>
    </row>
    <row r="31" spans="1:11" x14ac:dyDescent="0.3">
      <c r="A31" s="137"/>
      <c r="B31" s="154"/>
      <c r="C31" s="151"/>
      <c r="D31" s="154"/>
      <c r="E31" s="137"/>
      <c r="F31" s="145"/>
      <c r="G31" s="137"/>
      <c r="H31" s="137"/>
    </row>
    <row r="32" spans="1:11" x14ac:dyDescent="0.3">
      <c r="A32" s="137"/>
      <c r="B32" s="137"/>
      <c r="C32" s="137"/>
      <c r="D32" s="137"/>
      <c r="E32" s="137"/>
      <c r="F32" s="137"/>
      <c r="G32" s="137"/>
      <c r="H32" s="137"/>
      <c r="K32" s="20"/>
    </row>
    <row r="33" spans="1:9" x14ac:dyDescent="0.3">
      <c r="A33" s="135" t="s">
        <v>32</v>
      </c>
      <c r="B33" s="158"/>
      <c r="C33" s="158"/>
      <c r="D33" s="158"/>
      <c r="E33" s="158"/>
      <c r="F33" s="159" t="s">
        <v>6</v>
      </c>
      <c r="G33" s="324">
        <f>SUM(G19:G31)</f>
        <v>0</v>
      </c>
      <c r="H33" s="137"/>
    </row>
    <row r="34" spans="1:9" x14ac:dyDescent="0.3">
      <c r="A34" s="137"/>
      <c r="B34" s="137"/>
      <c r="C34" s="137"/>
      <c r="D34" s="137"/>
      <c r="E34" s="137"/>
      <c r="F34" s="137"/>
      <c r="G34" s="137"/>
      <c r="H34" s="137"/>
    </row>
    <row r="35" spans="1:9" x14ac:dyDescent="0.3">
      <c r="A35" s="15"/>
      <c r="B35" s="15"/>
      <c r="C35" s="15"/>
      <c r="D35" s="15"/>
      <c r="E35" s="15"/>
      <c r="F35" s="15"/>
      <c r="G35" s="15"/>
      <c r="H35" s="11"/>
      <c r="I35" s="11"/>
    </row>
    <row r="36" spans="1:9" s="19" customFormat="1" ht="17.25" customHeight="1" x14ac:dyDescent="0.3">
      <c r="A36" s="21"/>
      <c r="B36" s="21"/>
      <c r="C36" s="21"/>
      <c r="D36" s="21"/>
      <c r="E36" s="21"/>
      <c r="F36" s="21"/>
      <c r="G36" s="21"/>
    </row>
    <row r="37" spans="1:9" s="19" customFormat="1" ht="17.25" customHeight="1" x14ac:dyDescent="0.3">
      <c r="A37" s="21"/>
      <c r="B37" s="21"/>
      <c r="C37" s="22"/>
      <c r="D37" s="22"/>
      <c r="E37" s="21"/>
      <c r="F37" s="21"/>
      <c r="G37" s="23"/>
    </row>
    <row r="38" spans="1:9" s="19" customFormat="1" ht="17.25" customHeight="1" x14ac:dyDescent="0.3">
      <c r="A38" s="21"/>
      <c r="B38" s="21"/>
      <c r="C38" s="22"/>
      <c r="D38" s="22"/>
      <c r="E38" s="21"/>
      <c r="F38" s="21"/>
      <c r="G38" s="23"/>
    </row>
    <row r="39" spans="1:9" s="19" customFormat="1" ht="17.25" customHeight="1" x14ac:dyDescent="0.3">
      <c r="A39" s="21"/>
      <c r="B39" s="21"/>
      <c r="C39" s="22"/>
      <c r="D39" s="22"/>
      <c r="E39" s="21"/>
      <c r="F39" s="21"/>
      <c r="G39" s="23"/>
    </row>
    <row r="40" spans="1:9" s="19" customFormat="1" ht="17.25" customHeight="1" x14ac:dyDescent="0.3">
      <c r="A40" s="21"/>
      <c r="B40" s="21"/>
      <c r="C40" s="22"/>
      <c r="D40" s="22"/>
      <c r="E40" s="21"/>
      <c r="F40" s="21"/>
      <c r="G40" s="23"/>
    </row>
    <row r="41" spans="1:9" s="19" customFormat="1" ht="17.25" customHeight="1" x14ac:dyDescent="0.3">
      <c r="A41" s="21"/>
      <c r="B41" s="21"/>
      <c r="C41" s="22"/>
      <c r="D41" s="22"/>
      <c r="E41" s="21"/>
      <c r="F41" s="21"/>
      <c r="G41" s="23"/>
    </row>
    <row r="42" spans="1:9" s="19" customFormat="1" ht="17.25" customHeight="1" x14ac:dyDescent="0.3">
      <c r="A42" s="21"/>
      <c r="B42" s="21"/>
      <c r="C42" s="22"/>
      <c r="D42" s="22"/>
      <c r="E42" s="21"/>
      <c r="F42" s="21"/>
      <c r="G42" s="23"/>
      <c r="I42" s="24"/>
    </row>
    <row r="43" spans="1:9" s="19" customFormat="1" ht="17.25" customHeight="1" x14ac:dyDescent="0.3">
      <c r="A43" s="21"/>
      <c r="B43" s="21"/>
      <c r="C43" s="22"/>
      <c r="D43" s="22"/>
      <c r="E43" s="21"/>
      <c r="F43" s="21"/>
      <c r="G43" s="23"/>
    </row>
    <row r="44" spans="1:9" s="19" customFormat="1" ht="17.25" customHeight="1" x14ac:dyDescent="0.3">
      <c r="A44" s="21"/>
      <c r="B44" s="21"/>
      <c r="C44" s="22"/>
      <c r="D44" s="22"/>
      <c r="E44" s="21"/>
      <c r="F44" s="21"/>
      <c r="G44" s="23"/>
    </row>
    <row r="45" spans="1:9" s="19" customFormat="1" ht="17.25" customHeight="1" x14ac:dyDescent="0.3">
      <c r="A45" s="21"/>
      <c r="B45" s="21"/>
      <c r="C45" s="22"/>
      <c r="D45" s="22"/>
      <c r="E45" s="21"/>
      <c r="F45" s="21"/>
      <c r="G45" s="23"/>
    </row>
    <row r="46" spans="1:9" s="19" customFormat="1" ht="17.25" customHeight="1" x14ac:dyDescent="0.3">
      <c r="A46" s="21"/>
      <c r="B46" s="21"/>
      <c r="C46" s="22"/>
      <c r="D46" s="22"/>
      <c r="E46" s="21"/>
      <c r="F46" s="21"/>
      <c r="G46" s="23"/>
    </row>
    <row r="47" spans="1:9" s="19" customFormat="1" ht="17.25" customHeight="1" x14ac:dyDescent="0.3">
      <c r="A47" s="21"/>
      <c r="B47" s="21"/>
      <c r="C47" s="22"/>
      <c r="D47" s="22"/>
      <c r="E47" s="21"/>
      <c r="F47" s="21"/>
      <c r="G47" s="23"/>
    </row>
    <row r="48" spans="1:9" s="19" customFormat="1" ht="17.25" customHeight="1" x14ac:dyDescent="0.3">
      <c r="A48" s="21"/>
      <c r="B48" s="21"/>
      <c r="C48" s="22"/>
      <c r="D48" s="22"/>
      <c r="E48" s="21"/>
      <c r="F48" s="21"/>
      <c r="G48" s="23"/>
    </row>
    <row r="49" spans="1:9" s="19" customFormat="1" ht="17.25" customHeight="1" x14ac:dyDescent="0.3">
      <c r="A49" s="21"/>
      <c r="B49" s="21"/>
      <c r="C49" s="21"/>
      <c r="D49" s="21"/>
      <c r="E49" s="21"/>
      <c r="F49" s="21"/>
      <c r="G49" s="21"/>
    </row>
    <row r="50" spans="1:9" s="19" customFormat="1" ht="17.25" customHeight="1" x14ac:dyDescent="0.3">
      <c r="A50" s="25"/>
      <c r="B50" s="25"/>
      <c r="C50" s="25"/>
      <c r="D50" s="25"/>
      <c r="E50" s="25"/>
      <c r="F50" s="25"/>
      <c r="G50" s="25"/>
    </row>
    <row r="51" spans="1:9" ht="17.25" customHeight="1" x14ac:dyDescent="0.3">
      <c r="A51" s="7"/>
      <c r="B51" s="6"/>
      <c r="C51" s="6"/>
      <c r="D51" s="6"/>
      <c r="E51" s="6"/>
      <c r="F51" s="6"/>
      <c r="G51" s="6"/>
      <c r="H51" s="7"/>
      <c r="I51" s="7"/>
    </row>
    <row r="52" spans="1:9" ht="17.25" customHeight="1" x14ac:dyDescent="0.3">
      <c r="A52" s="7"/>
      <c r="B52" s="6"/>
      <c r="C52" s="7"/>
      <c r="D52" s="7"/>
      <c r="E52" s="7"/>
      <c r="F52" s="7"/>
      <c r="G52" s="7"/>
      <c r="H52" s="7"/>
      <c r="I52" s="7"/>
    </row>
    <row r="53" spans="1:9" ht="17.25" customHeight="1" x14ac:dyDescent="0.3">
      <c r="A53" s="6"/>
      <c r="B53" s="6"/>
      <c r="C53" s="7"/>
      <c r="D53" s="7"/>
      <c r="E53" s="7"/>
      <c r="F53" s="7"/>
      <c r="G53" s="7"/>
      <c r="H53" s="7"/>
      <c r="I53" s="7"/>
    </row>
    <row r="54" spans="1:9" ht="17.25" customHeight="1" x14ac:dyDescent="0.3">
      <c r="A54" s="7"/>
      <c r="B54" s="7"/>
      <c r="C54" s="7"/>
      <c r="D54" s="7"/>
      <c r="E54" s="7"/>
      <c r="F54" s="7"/>
      <c r="G54" s="7"/>
      <c r="H54" s="7"/>
      <c r="I54" s="7"/>
    </row>
  </sheetData>
  <sheetProtection algorithmName="SHA-512" hashValue="zEAW6DKHnmKKB7hSh1ytGDto9kt8SlU2MNQR0K7NLJouv8KAQBSvjM4Hcw+cN9oHP5jdpBufCfjdDKvXL6xzkA==" saltValue="aA5tTT5zP3cKeG444BJtmA==" spinCount="100000" sheet="1" objects="1" scenarios="1"/>
  <mergeCells count="2">
    <mergeCell ref="B3:F3"/>
    <mergeCell ref="B4:F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0103D-EE62-4F27-A356-58035B9C819F}">
  <sheetPr>
    <tabColor rgb="FF002060"/>
  </sheetPr>
  <dimension ref="A1:J109"/>
  <sheetViews>
    <sheetView showGridLines="0" zoomScale="130" zoomScaleNormal="130" workbookViewId="0">
      <selection activeCell="F28" sqref="F28"/>
    </sheetView>
  </sheetViews>
  <sheetFormatPr defaultColWidth="8.88671875" defaultRowHeight="14.4" x14ac:dyDescent="0.3"/>
  <cols>
    <col min="1" max="1" width="2.33203125" style="160" customWidth="1"/>
    <col min="2" max="2" width="31.109375" style="160" customWidth="1"/>
    <col min="3" max="3" width="10" style="160" customWidth="1"/>
    <col min="4" max="4" width="13.44140625" style="160" bestFit="1" customWidth="1"/>
    <col min="5" max="5" width="16.44140625" style="160" customWidth="1"/>
    <col min="6" max="6" width="13.44140625" style="160" customWidth="1"/>
    <col min="7" max="7" width="3" style="160" customWidth="1"/>
    <col min="8" max="8" width="4.6640625" style="160" customWidth="1"/>
    <col min="9" max="9" width="3" style="160" customWidth="1"/>
    <col min="10" max="10" width="10.88671875" style="160" bestFit="1" customWidth="1"/>
    <col min="11" max="16384" width="8.88671875" style="160"/>
  </cols>
  <sheetData>
    <row r="1" spans="1:9" ht="34.950000000000003" customHeight="1" x14ac:dyDescent="0.3"/>
    <row r="2" spans="1:9" ht="23.4" x14ac:dyDescent="0.45">
      <c r="A2" s="110" t="str">
        <f>"Jaaropgave "&amp;JAAR!F15&amp;" personen jonger dan de AOW-leeftijd"</f>
        <v>Jaaropgave 2021 personen jonger dan de AOW-leeftijd</v>
      </c>
      <c r="B2" s="111"/>
      <c r="C2" s="111"/>
      <c r="D2" s="111"/>
      <c r="E2" s="111"/>
      <c r="F2" s="111"/>
      <c r="G2" s="111"/>
      <c r="H2" s="161"/>
    </row>
    <row r="3" spans="1:9" s="164" customFormat="1" ht="9.75" customHeight="1" x14ac:dyDescent="0.3">
      <c r="A3" s="162"/>
      <c r="B3" s="163"/>
      <c r="C3" s="163"/>
      <c r="D3" s="163"/>
      <c r="E3" s="163"/>
      <c r="F3" s="163"/>
      <c r="G3" s="163"/>
      <c r="H3" s="163"/>
    </row>
    <row r="4" spans="1:9" s="164" customFormat="1" ht="17.25" customHeight="1" x14ac:dyDescent="0.3">
      <c r="A4" s="165"/>
      <c r="B4" s="166" t="s">
        <v>40</v>
      </c>
      <c r="C4" s="167">
        <f>JAAR!D6</f>
        <v>0</v>
      </c>
      <c r="D4" s="168"/>
      <c r="E4" s="169"/>
      <c r="F4" s="170"/>
      <c r="G4" s="170"/>
      <c r="H4" s="170"/>
    </row>
    <row r="5" spans="1:9" s="164" customFormat="1" ht="17.25" customHeight="1" x14ac:dyDescent="0.3">
      <c r="A5" s="165"/>
      <c r="B5" s="171" t="s">
        <v>0</v>
      </c>
      <c r="C5" s="167">
        <f>JAAR!D8</f>
        <v>0</v>
      </c>
      <c r="D5" s="168"/>
      <c r="E5" s="169"/>
      <c r="F5" s="170"/>
      <c r="G5" s="170"/>
      <c r="H5" s="170"/>
    </row>
    <row r="6" spans="1:9" s="164" customFormat="1" ht="11.25" customHeight="1" x14ac:dyDescent="0.3">
      <c r="A6" s="165"/>
      <c r="B6" s="170"/>
      <c r="C6" s="170"/>
      <c r="D6" s="170"/>
      <c r="E6" s="170"/>
      <c r="F6" s="170"/>
      <c r="G6" s="170"/>
      <c r="H6" s="170"/>
    </row>
    <row r="7" spans="1:9" ht="12.75" customHeight="1" x14ac:dyDescent="0.3">
      <c r="A7" s="170" t="s">
        <v>80</v>
      </c>
      <c r="B7" s="170"/>
      <c r="C7" s="170"/>
      <c r="D7" s="170"/>
      <c r="E7" s="170"/>
      <c r="F7" s="172">
        <v>10000</v>
      </c>
      <c r="G7" s="170"/>
      <c r="H7" s="170"/>
      <c r="I7" s="164"/>
    </row>
    <row r="8" spans="1:9" ht="12.75" customHeight="1" thickBot="1" x14ac:dyDescent="0.35">
      <c r="A8" s="170" t="s">
        <v>144</v>
      </c>
      <c r="B8" s="170"/>
      <c r="C8" s="170"/>
      <c r="D8" s="170"/>
      <c r="E8" s="170"/>
      <c r="F8" s="173">
        <v>0</v>
      </c>
      <c r="G8" s="170"/>
      <c r="H8" s="170"/>
      <c r="I8" s="164"/>
    </row>
    <row r="9" spans="1:9" ht="13.5" customHeight="1" thickTop="1" x14ac:dyDescent="0.3">
      <c r="A9" s="174" t="s">
        <v>1</v>
      </c>
      <c r="B9" s="174"/>
      <c r="C9" s="170"/>
      <c r="D9" s="170"/>
      <c r="E9" s="170"/>
      <c r="F9" s="323">
        <f>F7+F8</f>
        <v>10000</v>
      </c>
      <c r="G9" s="170"/>
      <c r="H9" s="170"/>
      <c r="I9" s="164"/>
    </row>
    <row r="10" spans="1:9" ht="12.75" customHeight="1" x14ac:dyDescent="0.3">
      <c r="A10" s="170"/>
      <c r="B10" s="170"/>
      <c r="C10" s="170"/>
      <c r="D10" s="170"/>
      <c r="E10" s="170"/>
      <c r="F10" s="170"/>
      <c r="G10" s="170"/>
      <c r="H10" s="170"/>
      <c r="I10" s="164"/>
    </row>
    <row r="11" spans="1:9" ht="15.6" x14ac:dyDescent="0.3">
      <c r="A11" s="165" t="s">
        <v>2</v>
      </c>
      <c r="B11" s="170"/>
      <c r="C11" s="170"/>
      <c r="D11" s="170"/>
      <c r="E11" s="170"/>
      <c r="F11" s="170"/>
      <c r="G11" s="170"/>
      <c r="H11" s="170"/>
      <c r="I11" s="164"/>
    </row>
    <row r="12" spans="1:9" ht="9.75" customHeight="1" x14ac:dyDescent="0.3">
      <c r="A12" s="170"/>
      <c r="B12" s="170"/>
      <c r="C12" s="170"/>
      <c r="D12" s="170"/>
      <c r="E12" s="175"/>
      <c r="F12" s="170"/>
      <c r="G12" s="170"/>
      <c r="H12" s="170"/>
      <c r="I12" s="164"/>
    </row>
    <row r="13" spans="1:9" ht="15.6" x14ac:dyDescent="0.3">
      <c r="A13" s="170" t="s">
        <v>81</v>
      </c>
      <c r="B13" s="170"/>
      <c r="C13" s="170"/>
      <c r="D13" s="176">
        <v>12</v>
      </c>
      <c r="E13" s="177">
        <f>ROUND(D13*parameters!$C$3/12,2)</f>
        <v>2837</v>
      </c>
      <c r="F13" s="170"/>
      <c r="G13" s="170"/>
      <c r="H13" s="170"/>
      <c r="I13" s="164"/>
    </row>
    <row r="14" spans="1:9" ht="15.6" x14ac:dyDescent="0.3">
      <c r="A14" s="170" t="s">
        <v>82</v>
      </c>
      <c r="B14" s="170"/>
      <c r="C14" s="170"/>
      <c r="D14" s="174"/>
      <c r="E14" s="175"/>
      <c r="F14" s="170"/>
      <c r="G14" s="170"/>
      <c r="H14" s="170"/>
      <c r="I14" s="164"/>
    </row>
    <row r="15" spans="1:9" ht="15.6" x14ac:dyDescent="0.3">
      <c r="A15" s="165">
        <v>1</v>
      </c>
      <c r="B15" s="170" t="s">
        <v>3</v>
      </c>
      <c r="C15" s="170"/>
      <c r="D15" s="176"/>
      <c r="E15" s="177">
        <f>IF(D16=0,0,IF(D15=0,0,ROUND((D15/D16)*parameters!$F$3,2)))</f>
        <v>0</v>
      </c>
      <c r="F15" s="170"/>
      <c r="G15" s="170"/>
      <c r="H15" s="170"/>
      <c r="I15" s="164"/>
    </row>
    <row r="16" spans="1:9" ht="16.2" thickBot="1" x14ac:dyDescent="0.35">
      <c r="A16" s="170"/>
      <c r="B16" s="170" t="s">
        <v>4</v>
      </c>
      <c r="C16" s="170"/>
      <c r="D16" s="321"/>
      <c r="E16" s="175"/>
      <c r="F16" s="170"/>
      <c r="G16" s="170"/>
      <c r="H16" s="170"/>
      <c r="I16" s="164"/>
    </row>
    <row r="17" spans="1:9" ht="16.2" thickTop="1" x14ac:dyDescent="0.3">
      <c r="A17" s="165">
        <v>2</v>
      </c>
      <c r="B17" s="170" t="s">
        <v>3</v>
      </c>
      <c r="C17" s="170"/>
      <c r="D17" s="322"/>
      <c r="E17" s="177">
        <f>IF(D18=0,0,IF(D17=0,0,ROUND((D17/D18)*parameters!$F$3,2)))</f>
        <v>0</v>
      </c>
      <c r="F17" s="170"/>
      <c r="G17" s="170"/>
      <c r="H17" s="170"/>
      <c r="I17" s="164"/>
    </row>
    <row r="18" spans="1:9" ht="15.6" x14ac:dyDescent="0.3">
      <c r="A18" s="170"/>
      <c r="B18" s="170" t="s">
        <v>4</v>
      </c>
      <c r="C18" s="170"/>
      <c r="D18" s="176"/>
      <c r="E18" s="175"/>
      <c r="F18" s="170"/>
      <c r="G18" s="170"/>
      <c r="H18" s="170"/>
      <c r="I18" s="164"/>
    </row>
    <row r="19" spans="1:9" ht="11.25" customHeight="1" x14ac:dyDescent="0.3">
      <c r="A19" s="170"/>
      <c r="B19" s="170"/>
      <c r="C19" s="170"/>
      <c r="D19" s="170"/>
      <c r="E19" s="170"/>
      <c r="F19" s="170"/>
      <c r="G19" s="170"/>
      <c r="H19" s="170"/>
      <c r="I19" s="164"/>
    </row>
    <row r="20" spans="1:9" ht="15.6" x14ac:dyDescent="0.3">
      <c r="A20" s="170" t="s">
        <v>83</v>
      </c>
      <c r="B20" s="170"/>
      <c r="C20" s="170"/>
      <c r="D20" s="170"/>
      <c r="E20" s="170"/>
      <c r="F20" s="178">
        <f>IF((E13+E15+E17)&lt;=parameters!$C$3,(E13+E15+E17),parameters!$C$3)</f>
        <v>2837</v>
      </c>
      <c r="G20" s="179" t="s">
        <v>5</v>
      </c>
      <c r="H20" s="170"/>
      <c r="I20" s="164"/>
    </row>
    <row r="21" spans="1:9" ht="12.75" customHeight="1" x14ac:dyDescent="0.3">
      <c r="A21" s="170"/>
      <c r="B21" s="170"/>
      <c r="C21" s="170"/>
      <c r="D21" s="170"/>
      <c r="E21" s="170"/>
      <c r="F21" s="170"/>
      <c r="G21" s="170"/>
      <c r="H21" s="170"/>
      <c r="I21" s="164"/>
    </row>
    <row r="22" spans="1:9" ht="15.6" x14ac:dyDescent="0.3">
      <c r="A22" s="165" t="s">
        <v>84</v>
      </c>
      <c r="B22" s="170"/>
      <c r="C22" s="170"/>
      <c r="D22" s="170"/>
      <c r="E22" s="170"/>
      <c r="F22" s="170"/>
      <c r="G22" s="170"/>
      <c r="H22" s="170"/>
      <c r="I22" s="164"/>
    </row>
    <row r="23" spans="1:9" ht="9.75" customHeight="1" x14ac:dyDescent="0.3">
      <c r="A23" s="170"/>
      <c r="B23" s="170"/>
      <c r="C23" s="170"/>
      <c r="D23" s="170"/>
      <c r="E23" s="170"/>
      <c r="F23" s="170"/>
      <c r="G23" s="170"/>
      <c r="H23" s="170"/>
      <c r="I23" s="164"/>
    </row>
    <row r="24" spans="1:9" ht="15.6" x14ac:dyDescent="0.3">
      <c r="A24" s="170" t="s">
        <v>85</v>
      </c>
      <c r="B24" s="170"/>
      <c r="C24" s="170"/>
      <c r="D24" s="170"/>
      <c r="E24" s="170"/>
      <c r="F24" s="170"/>
      <c r="G24" s="170"/>
      <c r="H24" s="170"/>
      <c r="I24" s="164"/>
    </row>
    <row r="25" spans="1:9" ht="16.2" thickBot="1" x14ac:dyDescent="0.35">
      <c r="A25" s="170" t="s">
        <v>76</v>
      </c>
      <c r="B25" s="170"/>
      <c r="C25" s="170"/>
      <c r="D25" s="170"/>
      <c r="E25" s="170"/>
      <c r="F25" s="320">
        <v>0</v>
      </c>
      <c r="G25" s="179" t="s">
        <v>6</v>
      </c>
      <c r="H25" s="170"/>
      <c r="I25" s="164"/>
    </row>
    <row r="26" spans="1:9" ht="11.25" customHeight="1" thickTop="1" x14ac:dyDescent="0.3">
      <c r="A26" s="170"/>
      <c r="B26" s="170"/>
      <c r="C26" s="170"/>
      <c r="D26" s="170"/>
      <c r="E26" s="170"/>
      <c r="F26" s="170"/>
      <c r="G26" s="170"/>
      <c r="H26" s="170"/>
      <c r="I26" s="164"/>
    </row>
    <row r="27" spans="1:9" ht="15.6" x14ac:dyDescent="0.3">
      <c r="A27" s="165" t="s">
        <v>86</v>
      </c>
      <c r="B27" s="170"/>
      <c r="C27" s="170"/>
      <c r="D27" s="170"/>
      <c r="E27" s="170"/>
      <c r="F27" s="178">
        <f>IF(F20-F25&lt;=0,0,F20-F25)</f>
        <v>2837</v>
      </c>
      <c r="G27" s="179" t="s">
        <v>7</v>
      </c>
      <c r="H27" s="170"/>
    </row>
    <row r="28" spans="1:9" ht="15.6" x14ac:dyDescent="0.3">
      <c r="A28" s="170" t="s">
        <v>8</v>
      </c>
      <c r="B28" s="170"/>
      <c r="C28" s="170"/>
      <c r="D28" s="170"/>
      <c r="E28" s="170"/>
      <c r="F28" s="180">
        <f>IF(F20-F25&lt;=0,0,IF(F20-F25&gt;=F9*parameters!$C$6,F9*parameters!$C$6,F20-F25))</f>
        <v>2837</v>
      </c>
      <c r="G28" s="170" t="s">
        <v>9</v>
      </c>
      <c r="H28" s="170"/>
      <c r="I28" s="181"/>
    </row>
    <row r="29" spans="1:9" ht="15.6" x14ac:dyDescent="0.3">
      <c r="A29" s="165"/>
      <c r="B29" s="170"/>
      <c r="C29" s="170"/>
      <c r="D29" s="170"/>
      <c r="E29" s="170"/>
      <c r="F29" s="178"/>
      <c r="G29" s="165"/>
      <c r="H29" s="170"/>
      <c r="I29" s="181"/>
    </row>
    <row r="30" spans="1:9" ht="15.6" x14ac:dyDescent="0.3">
      <c r="A30" s="165" t="s">
        <v>87</v>
      </c>
      <c r="B30" s="170"/>
      <c r="C30" s="170"/>
      <c r="D30" s="170"/>
      <c r="E30" s="170"/>
      <c r="F30" s="170"/>
      <c r="G30" s="170"/>
      <c r="H30" s="170"/>
      <c r="I30" s="164"/>
    </row>
    <row r="31" spans="1:9" ht="9.75" customHeight="1" x14ac:dyDescent="0.3">
      <c r="A31" s="170"/>
      <c r="B31" s="170"/>
      <c r="C31" s="170"/>
      <c r="D31" s="170"/>
      <c r="E31" s="170"/>
      <c r="F31" s="170"/>
      <c r="G31" s="170"/>
      <c r="H31" s="170"/>
      <c r="I31" s="164"/>
    </row>
    <row r="32" spans="1:9" ht="15.6" x14ac:dyDescent="0.3">
      <c r="A32" s="170" t="s">
        <v>88</v>
      </c>
      <c r="B32" s="170"/>
      <c r="C32" s="170"/>
      <c r="D32" s="170"/>
      <c r="E32" s="170"/>
      <c r="F32" s="175">
        <f>F9</f>
        <v>10000</v>
      </c>
      <c r="G32" s="170"/>
      <c r="H32" s="170"/>
      <c r="I32" s="164"/>
    </row>
    <row r="33" spans="1:9" ht="16.2" thickBot="1" x14ac:dyDescent="0.35">
      <c r="A33" s="170" t="s">
        <v>89</v>
      </c>
      <c r="B33" s="170"/>
      <c r="C33" s="170"/>
      <c r="D33" s="170"/>
      <c r="E33" s="170"/>
      <c r="F33" s="182">
        <f>F27</f>
        <v>2837</v>
      </c>
      <c r="G33" s="179" t="s">
        <v>7</v>
      </c>
      <c r="H33" s="170"/>
      <c r="I33" s="164"/>
    </row>
    <row r="34" spans="1:9" ht="16.2" thickTop="1" x14ac:dyDescent="0.3">
      <c r="A34" s="170" t="s">
        <v>90</v>
      </c>
      <c r="B34" s="170"/>
      <c r="C34" s="170"/>
      <c r="D34" s="170"/>
      <c r="E34" s="170"/>
      <c r="F34" s="175">
        <f>IF(F32-F33&lt;=0,0,F32-F33)</f>
        <v>7163</v>
      </c>
      <c r="G34" s="170"/>
      <c r="H34" s="170"/>
      <c r="I34" s="164"/>
    </row>
    <row r="35" spans="1:9" ht="9.75" customHeight="1" x14ac:dyDescent="0.3">
      <c r="A35" s="170"/>
      <c r="B35" s="170"/>
      <c r="C35" s="170"/>
      <c r="D35" s="170"/>
      <c r="E35" s="170"/>
      <c r="F35" s="170"/>
      <c r="G35" s="170"/>
      <c r="H35" s="170"/>
      <c r="I35" s="164"/>
    </row>
    <row r="36" spans="1:9" ht="15.6" x14ac:dyDescent="0.3">
      <c r="A36" s="170" t="s">
        <v>91</v>
      </c>
      <c r="B36" s="170"/>
      <c r="C36" s="170"/>
      <c r="D36" s="175">
        <f>F34</f>
        <v>7163</v>
      </c>
      <c r="E36" s="170" t="str">
        <f>parameters!$F$12</f>
        <v>x 58,98% (E)</v>
      </c>
      <c r="F36" s="175">
        <f>F34*parameters!$C$12</f>
        <v>4224.7374</v>
      </c>
      <c r="G36" s="170"/>
      <c r="H36" s="170"/>
      <c r="I36" s="164"/>
    </row>
    <row r="37" spans="1:9" ht="16.2" thickBot="1" x14ac:dyDescent="0.35">
      <c r="A37" s="170" t="s">
        <v>92</v>
      </c>
      <c r="B37" s="170"/>
      <c r="C37" s="170"/>
      <c r="D37" s="170"/>
      <c r="E37" s="170"/>
      <c r="F37" s="182">
        <f>F33</f>
        <v>2837</v>
      </c>
      <c r="G37" s="170"/>
      <c r="H37" s="170"/>
      <c r="I37" s="164"/>
    </row>
    <row r="38" spans="1:9" ht="16.2" thickTop="1" x14ac:dyDescent="0.3">
      <c r="A38" s="183" t="s">
        <v>79</v>
      </c>
      <c r="B38" s="170"/>
      <c r="C38" s="170"/>
      <c r="D38" s="170"/>
      <c r="E38" s="170"/>
      <c r="F38" s="178">
        <f>IF(F36-F37&lt;=0,0,F36-F37)</f>
        <v>1387.7374</v>
      </c>
      <c r="G38" s="170"/>
      <c r="H38" s="170"/>
      <c r="I38" s="164"/>
    </row>
    <row r="39" spans="1:9" ht="10.5" customHeight="1" x14ac:dyDescent="0.3">
      <c r="A39" s="170"/>
      <c r="B39" s="170"/>
      <c r="C39" s="170"/>
      <c r="D39" s="170"/>
      <c r="E39" s="170"/>
      <c r="F39" s="170"/>
      <c r="G39" s="170"/>
      <c r="H39" s="170"/>
      <c r="I39" s="164"/>
    </row>
    <row r="40" spans="1:9" ht="15.6" x14ac:dyDescent="0.3">
      <c r="A40" s="184" t="s">
        <v>93</v>
      </c>
      <c r="B40" s="185"/>
      <c r="C40" s="185"/>
      <c r="D40" s="185"/>
      <c r="E40" s="185"/>
      <c r="F40" s="186"/>
      <c r="G40" s="170"/>
      <c r="H40" s="170"/>
      <c r="I40" s="164"/>
    </row>
    <row r="41" spans="1:9" ht="12" customHeight="1" x14ac:dyDescent="0.3">
      <c r="A41" s="187"/>
      <c r="B41" s="188" t="s">
        <v>112</v>
      </c>
      <c r="C41" s="188"/>
      <c r="D41" s="189">
        <f>VLOOKUP(JAAR!$F$15,Percentages!$A$4:$G$35,7)</f>
        <v>58311</v>
      </c>
      <c r="E41" s="189">
        <f>D41/12</f>
        <v>4859.25</v>
      </c>
      <c r="F41" s="190"/>
      <c r="G41" s="179" t="s">
        <v>33</v>
      </c>
      <c r="H41" s="170"/>
      <c r="I41" s="164"/>
    </row>
    <row r="42" spans="1:9" ht="13.5" customHeight="1" x14ac:dyDescent="0.3">
      <c r="A42" s="187" t="s">
        <v>88</v>
      </c>
      <c r="B42" s="188"/>
      <c r="C42" s="188"/>
      <c r="D42" s="188"/>
      <c r="E42" s="188"/>
      <c r="F42" s="191">
        <f>F9</f>
        <v>10000</v>
      </c>
      <c r="G42" s="170"/>
      <c r="H42" s="170"/>
      <c r="I42" s="164"/>
    </row>
    <row r="43" spans="1:9" ht="16.2" thickBot="1" x14ac:dyDescent="0.35">
      <c r="A43" s="187" t="s">
        <v>94</v>
      </c>
      <c r="B43" s="188"/>
      <c r="C43" s="188"/>
      <c r="D43" s="188"/>
      <c r="E43" s="188"/>
      <c r="F43" s="192">
        <f>F38</f>
        <v>1387.7374</v>
      </c>
      <c r="G43" s="170"/>
      <c r="H43" s="170"/>
      <c r="I43" s="164"/>
    </row>
    <row r="44" spans="1:9" ht="15" customHeight="1" thickTop="1" x14ac:dyDescent="0.3">
      <c r="A44" s="187" t="s">
        <v>95</v>
      </c>
      <c r="B44" s="188"/>
      <c r="C44" s="188"/>
      <c r="D44" s="188"/>
      <c r="E44" s="188"/>
      <c r="F44" s="191">
        <f>SUM(F42:F43)</f>
        <v>11387.7374</v>
      </c>
      <c r="G44" s="170"/>
      <c r="H44" s="170"/>
      <c r="I44" s="164"/>
    </row>
    <row r="45" spans="1:9" ht="12.75" customHeight="1" x14ac:dyDescent="0.3">
      <c r="A45" s="187" t="s">
        <v>96</v>
      </c>
      <c r="B45" s="188"/>
      <c r="C45" s="189">
        <f>D13*E41</f>
        <v>58311</v>
      </c>
      <c r="D45" s="193">
        <f>IF(D15=0,0,(D15/D16)*D41/12)</f>
        <v>0</v>
      </c>
      <c r="E45" s="193">
        <f>IF(D17=0,0,(D17/D18)*D41/12)</f>
        <v>0</v>
      </c>
      <c r="F45" s="191">
        <f>IF((C45+D45+E45)&gt;F44,F44,IF(C45+D45+E45&gt;D41,D41,(C45+D45+E45)))</f>
        <v>11387.7374</v>
      </c>
      <c r="G45" s="170"/>
      <c r="H45" s="170"/>
      <c r="I45" s="164"/>
    </row>
    <row r="46" spans="1:9" ht="6" customHeight="1" x14ac:dyDescent="0.3">
      <c r="A46" s="187"/>
      <c r="B46" s="188"/>
      <c r="C46" s="189"/>
      <c r="D46" s="193"/>
      <c r="E46" s="193"/>
      <c r="F46" s="191"/>
      <c r="G46" s="170"/>
      <c r="H46" s="170"/>
      <c r="I46" s="164"/>
    </row>
    <row r="47" spans="1:9" ht="15.6" x14ac:dyDescent="0.3">
      <c r="A47" s="194" t="s">
        <v>97</v>
      </c>
      <c r="B47" s="195"/>
      <c r="C47" s="196"/>
      <c r="D47" s="197" t="str">
        <f>parameters!$F$17</f>
        <v>7% x (H)</v>
      </c>
      <c r="E47" s="198">
        <f>IF((F45&lt;F44),F45,F44)</f>
        <v>11387.7374</v>
      </c>
      <c r="F47" s="199">
        <f>FLOOR('Jaaropgave pers. &lt; AOW leeftijd'!E47*parameters!$C$17,2)</f>
        <v>796</v>
      </c>
      <c r="G47" s="170"/>
      <c r="H47" s="170"/>
      <c r="I47" s="164"/>
    </row>
    <row r="48" spans="1:9" ht="9.75" customHeight="1" x14ac:dyDescent="0.3">
      <c r="A48" s="170"/>
      <c r="B48" s="170"/>
      <c r="C48" s="170"/>
      <c r="D48" s="170"/>
      <c r="E48" s="200"/>
      <c r="F48" s="170"/>
      <c r="G48" s="170"/>
      <c r="H48" s="170"/>
      <c r="I48" s="164"/>
    </row>
    <row r="49" spans="1:10" ht="13.2" customHeight="1" x14ac:dyDescent="0.3">
      <c r="A49" s="201" t="s">
        <v>147</v>
      </c>
      <c r="B49" s="170"/>
      <c r="C49" s="170"/>
      <c r="D49" s="170"/>
      <c r="E49" s="200"/>
      <c r="F49" s="170"/>
      <c r="G49" s="170"/>
      <c r="H49" s="170"/>
      <c r="I49" s="164"/>
    </row>
    <row r="50" spans="1:10" ht="13.2" customHeight="1" x14ac:dyDescent="0.3">
      <c r="A50" s="174"/>
      <c r="B50" s="170"/>
      <c r="C50" s="170"/>
      <c r="D50" s="170"/>
      <c r="E50" s="200"/>
      <c r="F50" s="170"/>
      <c r="G50" s="170"/>
      <c r="H50" s="170"/>
      <c r="I50" s="164"/>
    </row>
    <row r="51" spans="1:10" ht="27.6" customHeight="1" x14ac:dyDescent="0.3">
      <c r="A51" s="170"/>
      <c r="B51" s="170"/>
      <c r="C51" s="170"/>
      <c r="D51" s="170"/>
      <c r="E51" s="200"/>
      <c r="F51" s="170"/>
      <c r="G51" s="170"/>
      <c r="H51" s="170"/>
      <c r="I51" s="164"/>
    </row>
    <row r="52" spans="1:10" ht="27.6" customHeight="1" x14ac:dyDescent="0.3">
      <c r="A52" s="170"/>
      <c r="B52" s="170"/>
      <c r="C52" s="170"/>
      <c r="D52" s="170"/>
      <c r="E52" s="200"/>
      <c r="F52" s="170"/>
      <c r="G52" s="170"/>
      <c r="H52" s="170"/>
      <c r="I52" s="164"/>
    </row>
    <row r="53" spans="1:10" ht="15.6" x14ac:dyDescent="0.3">
      <c r="A53" s="165" t="s">
        <v>98</v>
      </c>
      <c r="B53" s="170"/>
      <c r="C53" s="170"/>
      <c r="D53" s="170"/>
      <c r="E53" s="170"/>
      <c r="F53" s="170"/>
      <c r="G53" s="170"/>
      <c r="H53" s="170"/>
      <c r="I53" s="164"/>
    </row>
    <row r="54" spans="1:10" ht="6.75" customHeight="1" x14ac:dyDescent="0.3">
      <c r="A54" s="170"/>
      <c r="B54" s="170"/>
      <c r="C54" s="170"/>
      <c r="D54" s="170"/>
      <c r="E54" s="170"/>
      <c r="F54" s="170"/>
      <c r="G54" s="170"/>
      <c r="H54" s="170"/>
      <c r="I54" s="164"/>
    </row>
    <row r="55" spans="1:10" ht="12.75" customHeight="1" x14ac:dyDescent="0.3">
      <c r="A55" s="170" t="s">
        <v>88</v>
      </c>
      <c r="B55" s="170"/>
      <c r="C55" s="170"/>
      <c r="D55" s="170"/>
      <c r="E55" s="175">
        <f>F7</f>
        <v>10000</v>
      </c>
      <c r="F55" s="170"/>
      <c r="G55" s="170"/>
      <c r="H55" s="170"/>
      <c r="I55" s="164"/>
    </row>
    <row r="56" spans="1:10" ht="12.75" customHeight="1" x14ac:dyDescent="0.3">
      <c r="A56" s="170" t="s">
        <v>99</v>
      </c>
      <c r="B56" s="170"/>
      <c r="C56" s="170"/>
      <c r="D56" s="170"/>
      <c r="E56" s="175">
        <f>F8</f>
        <v>0</v>
      </c>
      <c r="F56" s="170"/>
      <c r="G56" s="170"/>
      <c r="H56" s="170"/>
      <c r="I56" s="202"/>
    </row>
    <row r="57" spans="1:10" ht="13.5" customHeight="1" x14ac:dyDescent="0.3">
      <c r="A57" s="170" t="s">
        <v>100</v>
      </c>
      <c r="B57" s="170"/>
      <c r="C57" s="165"/>
      <c r="D57" s="170"/>
      <c r="E57" s="203">
        <f>IF((F38)&lt;0.1,0,F38)</f>
        <v>1387.7374</v>
      </c>
      <c r="F57" s="170"/>
      <c r="G57" s="170"/>
      <c r="H57" s="170"/>
      <c r="I57" s="202"/>
    </row>
    <row r="58" spans="1:10" ht="15.6" x14ac:dyDescent="0.3">
      <c r="A58" s="170" t="s">
        <v>101</v>
      </c>
      <c r="B58" s="170"/>
      <c r="C58" s="170"/>
      <c r="D58" s="170"/>
      <c r="E58" s="175">
        <f>SUM(E55:E57)</f>
        <v>11387.7374</v>
      </c>
      <c r="F58" s="170"/>
      <c r="G58" s="170"/>
      <c r="H58" s="170"/>
      <c r="I58" s="202"/>
      <c r="J58" s="204"/>
    </row>
    <row r="59" spans="1:10" ht="7.5" customHeight="1" x14ac:dyDescent="0.3">
      <c r="A59" s="205"/>
      <c r="B59" s="205"/>
      <c r="C59" s="205"/>
      <c r="D59" s="205"/>
      <c r="E59" s="206"/>
      <c r="F59" s="205"/>
      <c r="G59" s="205"/>
      <c r="H59" s="207"/>
      <c r="I59" s="202"/>
    </row>
    <row r="60" spans="1:10" ht="13.2" customHeight="1" x14ac:dyDescent="0.3">
      <c r="A60" s="174"/>
      <c r="B60" s="170"/>
      <c r="C60" s="170"/>
      <c r="D60" s="170"/>
      <c r="E60" s="175"/>
      <c r="F60" s="170"/>
      <c r="G60" s="170"/>
      <c r="H60" s="170"/>
      <c r="I60" s="202"/>
    </row>
    <row r="61" spans="1:10" ht="11.25" customHeight="1" x14ac:dyDescent="0.3">
      <c r="A61" s="170"/>
      <c r="B61" s="170"/>
      <c r="C61" s="170"/>
      <c r="D61" s="170"/>
      <c r="E61" s="170"/>
      <c r="F61" s="170"/>
      <c r="G61" s="170"/>
      <c r="H61" s="170"/>
      <c r="I61" s="204"/>
    </row>
    <row r="62" spans="1:10" ht="15.6" x14ac:dyDescent="0.3">
      <c r="A62" s="315" t="s">
        <v>102</v>
      </c>
      <c r="B62" s="315"/>
      <c r="C62" s="315"/>
      <c r="D62" s="315"/>
      <c r="E62" s="316"/>
      <c r="G62" s="170"/>
      <c r="H62" s="170"/>
    </row>
    <row r="63" spans="1:10" ht="9.75" customHeight="1" x14ac:dyDescent="0.3">
      <c r="A63" s="317"/>
      <c r="B63" s="317"/>
      <c r="C63" s="317"/>
      <c r="D63" s="317"/>
      <c r="E63" s="318"/>
      <c r="G63" s="170"/>
      <c r="H63" s="170"/>
      <c r="I63" s="164"/>
    </row>
    <row r="64" spans="1:10" ht="12.75" customHeight="1" x14ac:dyDescent="0.3">
      <c r="A64" s="317" t="s">
        <v>103</v>
      </c>
      <c r="B64" s="317"/>
      <c r="C64" s="317"/>
      <c r="D64" s="318"/>
      <c r="E64" s="318">
        <f>INT(E58)</f>
        <v>11387</v>
      </c>
      <c r="G64" s="170"/>
      <c r="H64" s="170"/>
      <c r="I64" s="164"/>
    </row>
    <row r="65" spans="1:9" ht="12.75" customHeight="1" x14ac:dyDescent="0.3">
      <c r="A65" s="317" t="s">
        <v>122</v>
      </c>
      <c r="B65" s="317"/>
      <c r="C65" s="317"/>
      <c r="D65" s="317"/>
      <c r="E65" s="318">
        <f>INT(E56)</f>
        <v>0</v>
      </c>
      <c r="G65" s="170"/>
      <c r="H65" s="170"/>
      <c r="I65" s="202"/>
    </row>
    <row r="66" spans="1:9" ht="13.5" customHeight="1" x14ac:dyDescent="0.3">
      <c r="A66" s="317" t="s">
        <v>38</v>
      </c>
      <c r="B66" s="317"/>
      <c r="C66" s="317"/>
      <c r="D66" s="317"/>
      <c r="E66" s="319">
        <f>CEILING(E57,1)</f>
        <v>1388</v>
      </c>
      <c r="G66" s="170"/>
      <c r="H66" s="170"/>
      <c r="I66" s="202"/>
    </row>
    <row r="67" spans="1:9" ht="12.75" customHeight="1" x14ac:dyDescent="0.3">
      <c r="A67" s="170"/>
      <c r="B67" s="170"/>
      <c r="C67" s="170"/>
      <c r="D67" s="170"/>
      <c r="E67" s="170"/>
      <c r="F67" s="170"/>
      <c r="G67" s="170"/>
      <c r="H67" s="170"/>
      <c r="I67" s="164"/>
    </row>
    <row r="68" spans="1:9" ht="12.75" customHeight="1" x14ac:dyDescent="0.3">
      <c r="A68" s="208"/>
      <c r="B68" s="208"/>
      <c r="C68" s="208"/>
      <c r="D68" s="208"/>
      <c r="E68" s="208"/>
      <c r="F68" s="208"/>
      <c r="G68" s="208"/>
      <c r="H68" s="207"/>
      <c r="I68" s="202"/>
    </row>
    <row r="69" spans="1:9" ht="29.4" customHeight="1" x14ac:dyDescent="0.3">
      <c r="A69" s="170"/>
      <c r="B69" s="170"/>
      <c r="C69" s="170"/>
      <c r="D69" s="170"/>
      <c r="E69" s="170"/>
      <c r="F69" s="170"/>
      <c r="G69" s="170"/>
      <c r="H69" s="170"/>
      <c r="I69" s="164"/>
    </row>
    <row r="70" spans="1:9" ht="15.6" x14ac:dyDescent="0.3">
      <c r="A70" s="170"/>
      <c r="B70" s="130" t="s">
        <v>104</v>
      </c>
      <c r="C70" s="131" t="s">
        <v>11</v>
      </c>
      <c r="D70" s="131"/>
      <c r="E70" s="131"/>
      <c r="F70" s="132"/>
      <c r="G70" s="170"/>
      <c r="H70" s="170"/>
      <c r="I70" s="164"/>
    </row>
    <row r="71" spans="1:9" ht="15.6" x14ac:dyDescent="0.3">
      <c r="A71" s="170"/>
      <c r="B71" s="209"/>
      <c r="C71" s="210"/>
      <c r="D71" s="210"/>
      <c r="E71" s="210"/>
      <c r="F71" s="211"/>
      <c r="G71" s="170"/>
      <c r="H71" s="170"/>
      <c r="I71" s="164"/>
    </row>
    <row r="72" spans="1:9" ht="15.6" x14ac:dyDescent="0.3">
      <c r="A72" s="170"/>
      <c r="B72" s="212"/>
      <c r="C72" s="170"/>
      <c r="D72" s="170"/>
      <c r="E72" s="170"/>
      <c r="F72" s="213"/>
      <c r="G72" s="170"/>
      <c r="H72" s="170"/>
      <c r="I72" s="164"/>
    </row>
    <row r="73" spans="1:9" ht="15.6" x14ac:dyDescent="0.3">
      <c r="A73" s="170"/>
      <c r="B73" s="212"/>
      <c r="C73" s="170"/>
      <c r="D73" s="175"/>
      <c r="E73" s="175"/>
      <c r="F73" s="213"/>
      <c r="G73" s="170"/>
      <c r="H73" s="170"/>
    </row>
    <row r="74" spans="1:9" ht="15.6" x14ac:dyDescent="0.3">
      <c r="A74" s="170"/>
      <c r="B74" s="212"/>
      <c r="C74" s="170"/>
      <c r="D74" s="170"/>
      <c r="E74" s="175"/>
      <c r="F74" s="213"/>
      <c r="G74" s="170"/>
      <c r="H74" s="170"/>
    </row>
    <row r="75" spans="1:9" ht="15.6" x14ac:dyDescent="0.3">
      <c r="A75" s="170"/>
      <c r="B75" s="212"/>
      <c r="C75" s="170"/>
      <c r="D75" s="175"/>
      <c r="E75" s="175"/>
      <c r="F75" s="213"/>
      <c r="G75" s="170"/>
      <c r="H75" s="170"/>
    </row>
    <row r="76" spans="1:9" ht="15.6" x14ac:dyDescent="0.3">
      <c r="A76" s="170"/>
      <c r="B76" s="212"/>
      <c r="C76" s="170"/>
      <c r="D76" s="170"/>
      <c r="E76" s="175"/>
      <c r="F76" s="213"/>
      <c r="G76" s="170"/>
      <c r="H76" s="170"/>
    </row>
    <row r="77" spans="1:9" ht="15.6" x14ac:dyDescent="0.3">
      <c r="A77" s="170"/>
      <c r="B77" s="212"/>
      <c r="C77" s="170"/>
      <c r="D77" s="170"/>
      <c r="E77" s="214"/>
      <c r="F77" s="213"/>
      <c r="G77" s="170"/>
      <c r="H77" s="170"/>
    </row>
    <row r="78" spans="1:9" ht="15.6" x14ac:dyDescent="0.3">
      <c r="A78" s="170"/>
      <c r="B78" s="212"/>
      <c r="C78" s="170"/>
      <c r="D78" s="170"/>
      <c r="E78" s="175"/>
      <c r="F78" s="213"/>
      <c r="G78" s="170"/>
      <c r="H78" s="170"/>
    </row>
    <row r="79" spans="1:9" ht="15.6" x14ac:dyDescent="0.3">
      <c r="A79" s="170"/>
      <c r="B79" s="212"/>
      <c r="C79" s="170"/>
      <c r="D79" s="170"/>
      <c r="E79" s="175"/>
      <c r="F79" s="213"/>
      <c r="G79" s="170"/>
      <c r="H79" s="170"/>
    </row>
    <row r="80" spans="1:9" ht="15.6" x14ac:dyDescent="0.3">
      <c r="A80" s="170"/>
      <c r="B80" s="212"/>
      <c r="C80" s="170"/>
      <c r="D80" s="170"/>
      <c r="E80" s="215"/>
      <c r="F80" s="213"/>
      <c r="G80" s="170"/>
      <c r="H80" s="170"/>
    </row>
    <row r="81" spans="1:8" ht="15.6" x14ac:dyDescent="0.3">
      <c r="A81" s="170"/>
      <c r="B81" s="212"/>
      <c r="C81" s="170"/>
      <c r="D81" s="170"/>
      <c r="E81" s="170"/>
      <c r="F81" s="213"/>
      <c r="G81" s="170"/>
      <c r="H81" s="170"/>
    </row>
    <row r="82" spans="1:8" ht="15.6" x14ac:dyDescent="0.3">
      <c r="A82" s="170"/>
      <c r="B82" s="212"/>
      <c r="C82" s="170"/>
      <c r="D82" s="170"/>
      <c r="E82" s="170"/>
      <c r="F82" s="213"/>
      <c r="G82" s="170"/>
      <c r="H82" s="170"/>
    </row>
    <row r="83" spans="1:8" ht="15.6" x14ac:dyDescent="0.3">
      <c r="A83" s="170"/>
      <c r="B83" s="212"/>
      <c r="C83" s="170"/>
      <c r="D83" s="170"/>
      <c r="E83" s="170"/>
      <c r="F83" s="213"/>
      <c r="G83" s="170"/>
      <c r="H83" s="170"/>
    </row>
    <row r="84" spans="1:8" ht="15.6" x14ac:dyDescent="0.3">
      <c r="A84" s="170"/>
      <c r="B84" s="212"/>
      <c r="C84" s="170"/>
      <c r="D84" s="170"/>
      <c r="E84" s="170"/>
      <c r="F84" s="213"/>
      <c r="G84" s="170"/>
      <c r="H84" s="170"/>
    </row>
    <row r="85" spans="1:8" ht="15.6" x14ac:dyDescent="0.3">
      <c r="A85" s="170"/>
      <c r="B85" s="212"/>
      <c r="C85" s="170"/>
      <c r="D85" s="170"/>
      <c r="E85" s="170"/>
      <c r="F85" s="213"/>
      <c r="G85" s="170"/>
      <c r="H85" s="170"/>
    </row>
    <row r="86" spans="1:8" ht="15.6" x14ac:dyDescent="0.3">
      <c r="A86" s="170"/>
      <c r="B86" s="212"/>
      <c r="C86" s="170"/>
      <c r="D86" s="170"/>
      <c r="E86" s="170"/>
      <c r="F86" s="213"/>
      <c r="G86" s="170"/>
      <c r="H86" s="170"/>
    </row>
    <row r="87" spans="1:8" ht="15.6" x14ac:dyDescent="0.3">
      <c r="A87" s="170"/>
      <c r="B87" s="212"/>
      <c r="C87" s="170"/>
      <c r="D87" s="170"/>
      <c r="E87" s="170"/>
      <c r="F87" s="213"/>
      <c r="G87" s="170"/>
      <c r="H87" s="170"/>
    </row>
    <row r="88" spans="1:8" ht="15.6" x14ac:dyDescent="0.3">
      <c r="A88" s="170"/>
      <c r="B88" s="212"/>
      <c r="C88" s="170"/>
      <c r="D88" s="170"/>
      <c r="E88" s="175"/>
      <c r="F88" s="213"/>
      <c r="G88" s="170"/>
      <c r="H88" s="170"/>
    </row>
    <row r="89" spans="1:8" ht="15.6" x14ac:dyDescent="0.3">
      <c r="A89" s="170"/>
      <c r="B89" s="212"/>
      <c r="C89" s="170"/>
      <c r="D89" s="170"/>
      <c r="E89" s="175"/>
      <c r="F89" s="213"/>
      <c r="G89" s="170"/>
      <c r="H89" s="170"/>
    </row>
    <row r="90" spans="1:8" ht="15.6" x14ac:dyDescent="0.3">
      <c r="A90" s="170"/>
      <c r="B90" s="212"/>
      <c r="C90" s="170"/>
      <c r="D90" s="170"/>
      <c r="E90" s="175"/>
      <c r="F90" s="213"/>
      <c r="G90" s="170"/>
      <c r="H90" s="170"/>
    </row>
    <row r="91" spans="1:8" ht="15.6" x14ac:dyDescent="0.3">
      <c r="A91" s="170"/>
      <c r="B91" s="212"/>
      <c r="C91" s="170"/>
      <c r="D91" s="174"/>
      <c r="E91" s="214"/>
      <c r="F91" s="213"/>
      <c r="G91" s="170"/>
      <c r="H91" s="170"/>
    </row>
    <row r="92" spans="1:8" ht="15.6" x14ac:dyDescent="0.3">
      <c r="A92" s="170"/>
      <c r="B92" s="212"/>
      <c r="C92" s="170"/>
      <c r="D92" s="170"/>
      <c r="E92" s="175"/>
      <c r="F92" s="213"/>
      <c r="G92" s="170"/>
      <c r="H92" s="170"/>
    </row>
    <row r="93" spans="1:8" ht="15.6" x14ac:dyDescent="0.3">
      <c r="A93" s="170"/>
      <c r="B93" s="212"/>
      <c r="C93" s="170"/>
      <c r="D93" s="170"/>
      <c r="E93" s="170"/>
      <c r="F93" s="213"/>
      <c r="G93" s="170"/>
      <c r="H93" s="170"/>
    </row>
    <row r="94" spans="1:8" ht="15.6" x14ac:dyDescent="0.3">
      <c r="A94" s="170"/>
      <c r="B94" s="212"/>
      <c r="C94" s="170"/>
      <c r="D94" s="170"/>
      <c r="E94" s="170"/>
      <c r="F94" s="213"/>
      <c r="G94" s="170"/>
      <c r="H94" s="170"/>
    </row>
    <row r="95" spans="1:8" ht="15.6" x14ac:dyDescent="0.3">
      <c r="A95" s="170"/>
      <c r="B95" s="212"/>
      <c r="C95" s="170"/>
      <c r="D95" s="170"/>
      <c r="E95" s="170"/>
      <c r="F95" s="213"/>
      <c r="G95" s="170"/>
      <c r="H95" s="170"/>
    </row>
    <row r="96" spans="1:8" ht="15.6" x14ac:dyDescent="0.3">
      <c r="A96" s="170"/>
      <c r="B96" s="216"/>
      <c r="C96" s="208"/>
      <c r="D96" s="208"/>
      <c r="E96" s="208"/>
      <c r="F96" s="217"/>
      <c r="G96" s="170"/>
      <c r="H96" s="170"/>
    </row>
    <row r="97" spans="1:8" ht="12.75" customHeight="1" x14ac:dyDescent="0.3">
      <c r="A97" s="163"/>
      <c r="B97" s="163"/>
      <c r="C97" s="163"/>
      <c r="D97" s="163"/>
      <c r="E97" s="163"/>
      <c r="F97" s="163"/>
      <c r="G97" s="163"/>
      <c r="H97" s="163"/>
    </row>
    <row r="98" spans="1:8" ht="12.75" customHeight="1" x14ac:dyDescent="0.3">
      <c r="A98" s="201" t="s">
        <v>147</v>
      </c>
      <c r="B98" s="163"/>
      <c r="C98" s="163"/>
      <c r="D98" s="163"/>
      <c r="E98" s="163"/>
      <c r="F98" s="163"/>
      <c r="G98" s="163"/>
      <c r="H98" s="163"/>
    </row>
    <row r="99" spans="1:8" ht="12.75" customHeight="1" x14ac:dyDescent="0.3">
      <c r="A99" s="163"/>
      <c r="B99" s="163"/>
      <c r="C99" s="163"/>
      <c r="D99" s="163"/>
      <c r="E99" s="163"/>
      <c r="F99" s="163"/>
      <c r="G99" s="163"/>
      <c r="H99" s="163"/>
    </row>
    <row r="100" spans="1:8" ht="12.75" customHeight="1" x14ac:dyDescent="0.3">
      <c r="A100" s="163"/>
      <c r="B100" s="163"/>
      <c r="C100" s="163"/>
      <c r="D100" s="163"/>
      <c r="E100" s="163"/>
      <c r="F100" s="163"/>
      <c r="G100" s="163"/>
      <c r="H100" s="163"/>
    </row>
    <row r="101" spans="1:8" ht="12.75" customHeight="1" x14ac:dyDescent="0.3">
      <c r="A101" s="163"/>
      <c r="B101" s="163"/>
      <c r="C101" s="163"/>
      <c r="D101" s="163"/>
      <c r="E101" s="163"/>
      <c r="F101" s="163"/>
      <c r="G101" s="163"/>
      <c r="H101" s="163"/>
    </row>
    <row r="102" spans="1:8" ht="12.75" customHeight="1" x14ac:dyDescent="0.3">
      <c r="A102" s="163"/>
      <c r="B102" s="163"/>
      <c r="C102" s="163"/>
      <c r="D102" s="163"/>
      <c r="E102" s="163"/>
      <c r="F102" s="163"/>
      <c r="G102" s="163"/>
      <c r="H102" s="163"/>
    </row>
    <row r="103" spans="1:8" ht="12.75" customHeight="1" x14ac:dyDescent="0.3">
      <c r="A103" s="163"/>
      <c r="B103" s="163"/>
      <c r="C103" s="163"/>
      <c r="D103" s="163"/>
      <c r="E103" s="163"/>
      <c r="F103" s="163"/>
      <c r="G103" s="163"/>
      <c r="H103" s="163"/>
    </row>
    <row r="104" spans="1:8" ht="12.75" customHeight="1" x14ac:dyDescent="0.3">
      <c r="A104" s="163"/>
      <c r="B104" s="163"/>
      <c r="C104" s="163"/>
      <c r="D104" s="163"/>
      <c r="E104" s="163"/>
      <c r="F104" s="163"/>
      <c r="G104" s="163"/>
      <c r="H104" s="163"/>
    </row>
    <row r="105" spans="1:8" ht="12.75" customHeight="1" x14ac:dyDescent="0.3">
      <c r="A105" s="163"/>
      <c r="B105" s="163"/>
      <c r="C105" s="163"/>
      <c r="D105" s="163"/>
      <c r="E105" s="163"/>
      <c r="F105" s="163"/>
      <c r="G105" s="163"/>
      <c r="H105" s="163"/>
    </row>
    <row r="106" spans="1:8" ht="12.75" customHeight="1" x14ac:dyDescent="0.3">
      <c r="A106" s="163"/>
      <c r="B106" s="163"/>
      <c r="C106" s="163"/>
      <c r="D106" s="163"/>
      <c r="E106" s="163"/>
      <c r="F106" s="163"/>
      <c r="G106" s="163"/>
      <c r="H106" s="163"/>
    </row>
    <row r="107" spans="1:8" ht="12.75" customHeight="1" x14ac:dyDescent="0.3">
      <c r="A107" s="163"/>
      <c r="B107" s="163"/>
      <c r="C107" s="163"/>
      <c r="D107" s="163"/>
      <c r="E107" s="163"/>
      <c r="F107" s="163"/>
      <c r="G107" s="163"/>
      <c r="H107" s="163"/>
    </row>
    <row r="108" spans="1:8" ht="12.75" customHeight="1" x14ac:dyDescent="0.3">
      <c r="A108" s="163"/>
      <c r="B108" s="163"/>
      <c r="C108" s="163"/>
      <c r="D108" s="163"/>
      <c r="E108" s="163"/>
      <c r="F108" s="163"/>
      <c r="G108" s="163"/>
      <c r="H108" s="218"/>
    </row>
    <row r="109" spans="1:8" ht="12" customHeight="1" x14ac:dyDescent="0.3">
      <c r="A109" s="163"/>
      <c r="B109" s="163"/>
      <c r="C109" s="163"/>
      <c r="D109" s="163"/>
      <c r="E109" s="163"/>
      <c r="F109" s="163"/>
      <c r="G109" s="163"/>
      <c r="H109" s="163"/>
    </row>
  </sheetData>
  <sheetProtection algorithmName="SHA-512" hashValue="Qgmu9xOq51douZmOdSBmNhJ3mgF67t1XZD5C7hu7DeEKJnmAcY8oKfOffEgo+FXg5REI4Nb55+V3V1WcXJfq4A==" saltValue="oSlu/4Ud+YVQjf/cCF3R3A==" spinCount="100000" sheet="1" objects="1" scenarios="1"/>
  <mergeCells count="2">
    <mergeCell ref="C4:E4"/>
    <mergeCell ref="C5:E5"/>
  </mergeCells>
  <pageMargins left="0.65" right="0.48" top="0.87" bottom="0.93"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C780E-9F3D-4AD8-809B-80E6DE578AB1}">
  <dimension ref="A1:H76"/>
  <sheetViews>
    <sheetView topLeftCell="A25" workbookViewId="0">
      <selection activeCell="O47" sqref="O47"/>
    </sheetView>
  </sheetViews>
  <sheetFormatPr defaultColWidth="9.109375" defaultRowHeight="14.4" x14ac:dyDescent="0.3"/>
  <cols>
    <col min="1" max="16384" width="9.109375" style="20"/>
  </cols>
  <sheetData>
    <row r="1" spans="1:3" x14ac:dyDescent="0.3">
      <c r="A1" s="20" t="s">
        <v>70</v>
      </c>
    </row>
    <row r="2" spans="1:3" x14ac:dyDescent="0.3">
      <c r="A2" s="20" t="s">
        <v>62</v>
      </c>
      <c r="B2" s="20">
        <f>parameters!C3</f>
        <v>2837</v>
      </c>
      <c r="C2" s="100">
        <f>parameters!F3</f>
        <v>236.41666666666666</v>
      </c>
    </row>
    <row r="3" spans="1:3" x14ac:dyDescent="0.3">
      <c r="C3" s="101"/>
    </row>
    <row r="5" spans="1:3" x14ac:dyDescent="0.3">
      <c r="C5" s="101"/>
    </row>
    <row r="11" spans="1:3" x14ac:dyDescent="0.3">
      <c r="A11" s="20" t="s">
        <v>71</v>
      </c>
    </row>
    <row r="12" spans="1:3" x14ac:dyDescent="0.3">
      <c r="A12" s="20">
        <f>'Vordering direct bruteren'!D15</f>
        <v>0</v>
      </c>
      <c r="C12" s="101">
        <f>IF(A13=0,0,$C$2*A12/A13)</f>
        <v>0</v>
      </c>
    </row>
    <row r="13" spans="1:3" x14ac:dyDescent="0.3">
      <c r="A13" s="20">
        <f>'Vordering direct bruteren'!D16</f>
        <v>0</v>
      </c>
    </row>
    <row r="14" spans="1:3" x14ac:dyDescent="0.3">
      <c r="A14" s="20">
        <f>'Vordering direct bruteren'!D17</f>
        <v>0</v>
      </c>
      <c r="C14" s="101">
        <f>IF(A15=0,0,$C$2*A14/A15)</f>
        <v>0</v>
      </c>
    </row>
    <row r="15" spans="1:3" x14ac:dyDescent="0.3">
      <c r="A15" s="20">
        <f>'Vordering direct bruteren'!D18</f>
        <v>0</v>
      </c>
    </row>
    <row r="16" spans="1:3" x14ac:dyDescent="0.3">
      <c r="A16" s="20">
        <f>'Vordering direct bruteren'!D13</f>
        <v>0</v>
      </c>
      <c r="C16" s="20">
        <f>$B$2*A16/12</f>
        <v>0</v>
      </c>
    </row>
    <row r="18" spans="1:8" x14ac:dyDescent="0.3">
      <c r="C18" s="20">
        <f>ROUND(IF(SUM(C12:C16)&gt;B2,B2,SUM(C12:C16)),2)</f>
        <v>0</v>
      </c>
    </row>
    <row r="20" spans="1:8" x14ac:dyDescent="0.3">
      <c r="A20" s="20" t="s">
        <v>72</v>
      </c>
    </row>
    <row r="21" spans="1:8" x14ac:dyDescent="0.3">
      <c r="A21" s="20">
        <f>'Vordering direct bruteren'!D81</f>
        <v>0</v>
      </c>
      <c r="C21" s="101">
        <f>IF(A22=0,0,$C$2*A21/A22)</f>
        <v>0</v>
      </c>
    </row>
    <row r="22" spans="1:8" x14ac:dyDescent="0.3">
      <c r="A22" s="20">
        <f>'Vordering direct bruteren'!D82</f>
        <v>0</v>
      </c>
    </row>
    <row r="23" spans="1:8" x14ac:dyDescent="0.3">
      <c r="A23" s="20">
        <f>'Vordering direct bruteren'!D83</f>
        <v>0</v>
      </c>
      <c r="C23" s="101">
        <f>IF(A24=0,0,$C$2*A23/A24)</f>
        <v>0</v>
      </c>
    </row>
    <row r="24" spans="1:8" x14ac:dyDescent="0.3">
      <c r="A24" s="20">
        <f>'Vordering direct bruteren'!D84</f>
        <v>0</v>
      </c>
    </row>
    <row r="25" spans="1:8" x14ac:dyDescent="0.3">
      <c r="A25" s="20">
        <f>'Vordering direct bruteren'!D79</f>
        <v>12</v>
      </c>
      <c r="C25" s="20">
        <f>$B$2*A25/12</f>
        <v>2837</v>
      </c>
    </row>
    <row r="27" spans="1:8" x14ac:dyDescent="0.3">
      <c r="C27" s="20">
        <f>ROUND(IF(SUM(C21:C25)&gt;B11,B11,SUM(C21:C25)),2)</f>
        <v>0</v>
      </c>
    </row>
    <row r="28" spans="1:8" x14ac:dyDescent="0.3">
      <c r="A28" s="20" t="s">
        <v>70</v>
      </c>
    </row>
    <row r="29" spans="1:8" x14ac:dyDescent="0.3">
      <c r="A29" s="20" t="s">
        <v>74</v>
      </c>
      <c r="H29" s="20" t="s">
        <v>75</v>
      </c>
    </row>
    <row r="30" spans="1:8" x14ac:dyDescent="0.3">
      <c r="A30" s="20">
        <f>'ber. elders gebr. Ahk Jaaropg'!C19</f>
        <v>0</v>
      </c>
      <c r="B30" s="20">
        <f>'ber. elders gebr. Ahk Jaaropg'!D19</f>
        <v>0</v>
      </c>
      <c r="C30" s="20">
        <f t="shared" ref="C30:C41" si="0">ROUND(IF(A30*$G$30&lt;$C$2,A30*$G$30,$C$2),2)</f>
        <v>0</v>
      </c>
      <c r="D30" s="20">
        <f>IF(A30&lt;&gt;0,0,ROUND(IF(B30*$H$30&lt;$C$2,B30*$H$30,$C$2),2))</f>
        <v>0</v>
      </c>
      <c r="E30" s="20">
        <f>LARGE(C30:D30,1)</f>
        <v>0</v>
      </c>
      <c r="G30" s="102">
        <f>VLOOKUP(JAAR!$F$15,Percentages!$A$4:$G$35,4)</f>
        <v>0.32518999999999998</v>
      </c>
      <c r="H30" s="102">
        <f>VLOOKUP(JAAR!$F$15,Percentages!$A$4:$G$35,3)</f>
        <v>0.371</v>
      </c>
    </row>
    <row r="31" spans="1:8" x14ac:dyDescent="0.3">
      <c r="A31" s="20">
        <f>'ber. elders gebr. Ahk Jaaropg'!C20</f>
        <v>0</v>
      </c>
      <c r="B31" s="20">
        <f>'ber. elders gebr. Ahk Jaaropg'!D20</f>
        <v>0</v>
      </c>
      <c r="C31" s="20">
        <f t="shared" si="0"/>
        <v>0</v>
      </c>
      <c r="D31" s="20">
        <f t="shared" ref="D31:D42" si="1">IF(A31&lt;&gt;0,0,ROUND(IF(B31*$H$30&lt;$C$2,B31*$H$30,$C$2),2))</f>
        <v>0</v>
      </c>
      <c r="E31" s="20">
        <f t="shared" ref="E31:E41" si="2">LARGE(C31:D31,1)</f>
        <v>0</v>
      </c>
    </row>
    <row r="32" spans="1:8" x14ac:dyDescent="0.3">
      <c r="A32" s="20">
        <f>'ber. elders gebr. Ahk Jaaropg'!C21</f>
        <v>0</v>
      </c>
      <c r="B32" s="20">
        <f>'ber. elders gebr. Ahk Jaaropg'!D21</f>
        <v>0</v>
      </c>
      <c r="C32" s="20">
        <f t="shared" si="0"/>
        <v>0</v>
      </c>
      <c r="D32" s="20">
        <f t="shared" si="1"/>
        <v>0</v>
      </c>
      <c r="E32" s="20">
        <f t="shared" si="2"/>
        <v>0</v>
      </c>
    </row>
    <row r="33" spans="1:8" x14ac:dyDescent="0.3">
      <c r="A33" s="20">
        <f>'ber. elders gebr. Ahk Jaaropg'!C22</f>
        <v>0</v>
      </c>
      <c r="B33" s="20">
        <f>'ber. elders gebr. Ahk Jaaropg'!D22</f>
        <v>0</v>
      </c>
      <c r="C33" s="20">
        <f t="shared" si="0"/>
        <v>0</v>
      </c>
      <c r="D33" s="20">
        <f t="shared" si="1"/>
        <v>0</v>
      </c>
      <c r="E33" s="20">
        <f t="shared" si="2"/>
        <v>0</v>
      </c>
    </row>
    <row r="34" spans="1:8" x14ac:dyDescent="0.3">
      <c r="A34" s="20">
        <f>'ber. elders gebr. Ahk Jaaropg'!C23</f>
        <v>0</v>
      </c>
      <c r="B34" s="20">
        <f>'ber. elders gebr. Ahk Jaaropg'!D23</f>
        <v>0</v>
      </c>
      <c r="C34" s="20">
        <f t="shared" si="0"/>
        <v>0</v>
      </c>
      <c r="D34" s="20">
        <f t="shared" si="1"/>
        <v>0</v>
      </c>
      <c r="E34" s="20">
        <f t="shared" si="2"/>
        <v>0</v>
      </c>
    </row>
    <row r="35" spans="1:8" x14ac:dyDescent="0.3">
      <c r="A35" s="20">
        <f>'ber. elders gebr. Ahk Jaaropg'!C24</f>
        <v>0</v>
      </c>
      <c r="B35" s="20">
        <f>'ber. elders gebr. Ahk Jaaropg'!D24</f>
        <v>0</v>
      </c>
      <c r="C35" s="20">
        <f t="shared" si="0"/>
        <v>0</v>
      </c>
      <c r="D35" s="20">
        <f t="shared" si="1"/>
        <v>0</v>
      </c>
      <c r="E35" s="20">
        <f t="shared" si="2"/>
        <v>0</v>
      </c>
    </row>
    <row r="36" spans="1:8" x14ac:dyDescent="0.3">
      <c r="A36" s="20">
        <f>'ber. elders gebr. Ahk Jaaropg'!C25</f>
        <v>0</v>
      </c>
      <c r="B36" s="20">
        <f>'ber. elders gebr. Ahk Jaaropg'!D25</f>
        <v>0</v>
      </c>
      <c r="C36" s="20">
        <f t="shared" si="0"/>
        <v>0</v>
      </c>
      <c r="D36" s="20">
        <f t="shared" si="1"/>
        <v>0</v>
      </c>
      <c r="E36" s="20">
        <f t="shared" si="2"/>
        <v>0</v>
      </c>
    </row>
    <row r="37" spans="1:8" x14ac:dyDescent="0.3">
      <c r="A37" s="20">
        <f>'ber. elders gebr. Ahk Jaaropg'!C26</f>
        <v>0</v>
      </c>
      <c r="B37" s="20">
        <f>'ber. elders gebr. Ahk Jaaropg'!D26</f>
        <v>0</v>
      </c>
      <c r="C37" s="20">
        <f t="shared" si="0"/>
        <v>0</v>
      </c>
      <c r="D37" s="20">
        <f t="shared" si="1"/>
        <v>0</v>
      </c>
      <c r="E37" s="20">
        <f t="shared" si="2"/>
        <v>0</v>
      </c>
    </row>
    <row r="38" spans="1:8" x14ac:dyDescent="0.3">
      <c r="A38" s="20">
        <f>'ber. elders gebr. Ahk Jaaropg'!C27</f>
        <v>0</v>
      </c>
      <c r="B38" s="20">
        <f>'ber. elders gebr. Ahk Jaaropg'!D27</f>
        <v>0</v>
      </c>
      <c r="C38" s="20">
        <f t="shared" si="0"/>
        <v>0</v>
      </c>
      <c r="D38" s="20">
        <f t="shared" si="1"/>
        <v>0</v>
      </c>
      <c r="E38" s="20">
        <f t="shared" si="2"/>
        <v>0</v>
      </c>
    </row>
    <row r="39" spans="1:8" x14ac:dyDescent="0.3">
      <c r="A39" s="20">
        <f>'ber. elders gebr. Ahk Jaaropg'!C28</f>
        <v>0</v>
      </c>
      <c r="B39" s="20">
        <f>'ber. elders gebr. Ahk Jaaropg'!D28</f>
        <v>0</v>
      </c>
      <c r="C39" s="20">
        <f t="shared" si="0"/>
        <v>0</v>
      </c>
      <c r="D39" s="20">
        <f t="shared" si="1"/>
        <v>0</v>
      </c>
      <c r="E39" s="20">
        <f t="shared" si="2"/>
        <v>0</v>
      </c>
    </row>
    <row r="40" spans="1:8" x14ac:dyDescent="0.3">
      <c r="A40" s="20">
        <f>'ber. elders gebr. Ahk Jaaropg'!C29</f>
        <v>0</v>
      </c>
      <c r="B40" s="20">
        <f>'ber. elders gebr. Ahk Jaaropg'!D29</f>
        <v>0</v>
      </c>
      <c r="C40" s="20">
        <f t="shared" si="0"/>
        <v>0</v>
      </c>
      <c r="D40" s="20">
        <f t="shared" si="1"/>
        <v>0</v>
      </c>
      <c r="E40" s="20">
        <f t="shared" si="2"/>
        <v>0</v>
      </c>
    </row>
    <row r="41" spans="1:8" x14ac:dyDescent="0.3">
      <c r="A41" s="20">
        <f>'ber. elders gebr. Ahk Jaaropg'!C30</f>
        <v>0</v>
      </c>
      <c r="B41" s="20">
        <f>'ber. elders gebr. Ahk Jaaropg'!D30</f>
        <v>0</v>
      </c>
      <c r="C41" s="20">
        <f t="shared" si="0"/>
        <v>0</v>
      </c>
      <c r="D41" s="20">
        <f t="shared" si="1"/>
        <v>0</v>
      </c>
      <c r="E41" s="20">
        <f t="shared" si="2"/>
        <v>0</v>
      </c>
    </row>
    <row r="42" spans="1:8" x14ac:dyDescent="0.3">
      <c r="A42" s="20">
        <f>'ber. elders gebr. Ahk Jaaropg'!C31</f>
        <v>0</v>
      </c>
      <c r="B42" s="20">
        <f>'ber. elders gebr. Ahk Jaaropg'!D31</f>
        <v>0</v>
      </c>
      <c r="D42" s="20">
        <f t="shared" si="1"/>
        <v>0</v>
      </c>
    </row>
    <row r="45" spans="1:8" x14ac:dyDescent="0.3">
      <c r="A45" s="20" t="s">
        <v>126</v>
      </c>
    </row>
    <row r="46" spans="1:8" x14ac:dyDescent="0.3">
      <c r="A46" s="20" t="s">
        <v>74</v>
      </c>
      <c r="H46" s="20" t="s">
        <v>75</v>
      </c>
    </row>
    <row r="47" spans="1:8" x14ac:dyDescent="0.3">
      <c r="A47" s="20">
        <f>'ber. elders gebr. Ahk Vordering'!C19</f>
        <v>0</v>
      </c>
      <c r="B47" s="20">
        <f>'ber. elders gebr. Ahk Vordering'!E19</f>
        <v>0</v>
      </c>
      <c r="C47" s="20">
        <f t="shared" ref="C47:C58" si="3">ROUND(IF(A47*$G$30&lt;$C$2,A47*$G$30,$C$2),2)</f>
        <v>0</v>
      </c>
      <c r="D47" s="20">
        <f>IF(A47&lt;&gt;0,0,ROUND(IF(B47*$H$30&lt;$C$2,B47*$H$30,$C$2),2))</f>
        <v>0</v>
      </c>
      <c r="E47" s="20">
        <f>LARGE(C47:D47,1)</f>
        <v>0</v>
      </c>
      <c r="G47" s="102">
        <f>VLOOKUP(JAAR!$F$15,Percentages!$A$4:$G$35,4)</f>
        <v>0.32518999999999998</v>
      </c>
      <c r="H47" s="102">
        <f>VLOOKUP(JAAR!$F$15,Percentages!$A$4:$G$35,3)</f>
        <v>0.371</v>
      </c>
    </row>
    <row r="48" spans="1:8" x14ac:dyDescent="0.3">
      <c r="A48" s="20">
        <f>'ber. elders gebr. Ahk Vordering'!C20</f>
        <v>0</v>
      </c>
      <c r="B48" s="20">
        <f>'ber. elders gebr. Ahk Vordering'!E20</f>
        <v>0</v>
      </c>
      <c r="C48" s="20">
        <f t="shared" si="3"/>
        <v>0</v>
      </c>
      <c r="D48" s="20">
        <f t="shared" ref="D48:D59" si="4">IF(A48&lt;&gt;0,0,ROUND(IF(B48*$H$30&lt;$C$2,B48*$H$30,$C$2),2))</f>
        <v>0</v>
      </c>
      <c r="E48" s="20">
        <f t="shared" ref="E48:E58" si="5">LARGE(C48:D48,1)</f>
        <v>0</v>
      </c>
    </row>
    <row r="49" spans="1:8" x14ac:dyDescent="0.3">
      <c r="A49" s="20">
        <f>'ber. elders gebr. Ahk Vordering'!C21</f>
        <v>0</v>
      </c>
      <c r="B49" s="20">
        <f>'ber. elders gebr. Ahk Vordering'!E21</f>
        <v>0</v>
      </c>
      <c r="C49" s="20">
        <f t="shared" si="3"/>
        <v>0</v>
      </c>
      <c r="D49" s="20">
        <f t="shared" si="4"/>
        <v>0</v>
      </c>
      <c r="E49" s="20">
        <f t="shared" si="5"/>
        <v>0</v>
      </c>
    </row>
    <row r="50" spans="1:8" x14ac:dyDescent="0.3">
      <c r="A50" s="20">
        <f>'ber. elders gebr. Ahk Vordering'!C22</f>
        <v>0</v>
      </c>
      <c r="B50" s="20">
        <f>'ber. elders gebr. Ahk Vordering'!E22</f>
        <v>0</v>
      </c>
      <c r="C50" s="20">
        <f t="shared" si="3"/>
        <v>0</v>
      </c>
      <c r="D50" s="20">
        <f t="shared" si="4"/>
        <v>0</v>
      </c>
      <c r="E50" s="20">
        <f t="shared" si="5"/>
        <v>0</v>
      </c>
    </row>
    <row r="51" spans="1:8" x14ac:dyDescent="0.3">
      <c r="A51" s="20">
        <f>'ber. elders gebr. Ahk Vordering'!C23</f>
        <v>0</v>
      </c>
      <c r="B51" s="20">
        <f>'ber. elders gebr. Ahk Vordering'!E23</f>
        <v>0</v>
      </c>
      <c r="C51" s="20">
        <f t="shared" si="3"/>
        <v>0</v>
      </c>
      <c r="D51" s="20">
        <f t="shared" si="4"/>
        <v>0</v>
      </c>
      <c r="E51" s="20">
        <f t="shared" si="5"/>
        <v>0</v>
      </c>
    </row>
    <row r="52" spans="1:8" x14ac:dyDescent="0.3">
      <c r="A52" s="20">
        <f>'ber. elders gebr. Ahk Vordering'!C24</f>
        <v>0</v>
      </c>
      <c r="B52" s="20">
        <f>'ber. elders gebr. Ahk Vordering'!E24</f>
        <v>0</v>
      </c>
      <c r="C52" s="20">
        <f t="shared" si="3"/>
        <v>0</v>
      </c>
      <c r="D52" s="20">
        <f t="shared" si="4"/>
        <v>0</v>
      </c>
      <c r="E52" s="20">
        <f t="shared" si="5"/>
        <v>0</v>
      </c>
    </row>
    <row r="53" spans="1:8" x14ac:dyDescent="0.3">
      <c r="A53" s="20">
        <f>'ber. elders gebr. Ahk Vordering'!C25</f>
        <v>0</v>
      </c>
      <c r="B53" s="20">
        <f>'ber. elders gebr. Ahk Vordering'!E25</f>
        <v>0</v>
      </c>
      <c r="C53" s="20">
        <f t="shared" si="3"/>
        <v>0</v>
      </c>
      <c r="D53" s="20">
        <f t="shared" si="4"/>
        <v>0</v>
      </c>
      <c r="E53" s="20">
        <f t="shared" si="5"/>
        <v>0</v>
      </c>
    </row>
    <row r="54" spans="1:8" x14ac:dyDescent="0.3">
      <c r="A54" s="20">
        <f>'ber. elders gebr. Ahk Vordering'!C26</f>
        <v>0</v>
      </c>
      <c r="B54" s="20">
        <f>'ber. elders gebr. Ahk Vordering'!E26</f>
        <v>0</v>
      </c>
      <c r="C54" s="20">
        <f t="shared" si="3"/>
        <v>0</v>
      </c>
      <c r="D54" s="20">
        <f t="shared" si="4"/>
        <v>0</v>
      </c>
      <c r="E54" s="20">
        <f t="shared" si="5"/>
        <v>0</v>
      </c>
    </row>
    <row r="55" spans="1:8" x14ac:dyDescent="0.3">
      <c r="A55" s="20">
        <f>'ber. elders gebr. Ahk Vordering'!C27</f>
        <v>0</v>
      </c>
      <c r="B55" s="20">
        <f>'ber. elders gebr. Ahk Vordering'!E27</f>
        <v>0</v>
      </c>
      <c r="C55" s="20">
        <f t="shared" si="3"/>
        <v>0</v>
      </c>
      <c r="D55" s="20">
        <f t="shared" si="4"/>
        <v>0</v>
      </c>
      <c r="E55" s="20">
        <f t="shared" si="5"/>
        <v>0</v>
      </c>
    </row>
    <row r="56" spans="1:8" x14ac:dyDescent="0.3">
      <c r="A56" s="20">
        <f>'ber. elders gebr. Ahk Vordering'!C28</f>
        <v>0</v>
      </c>
      <c r="B56" s="20">
        <f>'ber. elders gebr. Ahk Vordering'!E28</f>
        <v>0</v>
      </c>
      <c r="C56" s="20">
        <f t="shared" si="3"/>
        <v>0</v>
      </c>
      <c r="D56" s="20">
        <f t="shared" si="4"/>
        <v>0</v>
      </c>
      <c r="E56" s="20">
        <f t="shared" si="5"/>
        <v>0</v>
      </c>
    </row>
    <row r="57" spans="1:8" x14ac:dyDescent="0.3">
      <c r="A57" s="20">
        <f>'ber. elders gebr. Ahk Vordering'!C29</f>
        <v>0</v>
      </c>
      <c r="B57" s="20">
        <f>'ber. elders gebr. Ahk Vordering'!E29</f>
        <v>0</v>
      </c>
      <c r="C57" s="20">
        <f t="shared" si="3"/>
        <v>0</v>
      </c>
      <c r="D57" s="20">
        <f t="shared" si="4"/>
        <v>0</v>
      </c>
      <c r="E57" s="20">
        <f t="shared" si="5"/>
        <v>0</v>
      </c>
    </row>
    <row r="58" spans="1:8" x14ac:dyDescent="0.3">
      <c r="A58" s="20">
        <f>'ber. elders gebr. Ahk Vordering'!C30</f>
        <v>0</v>
      </c>
      <c r="B58" s="20">
        <f>'ber. elders gebr. Ahk Vordering'!E30</f>
        <v>0</v>
      </c>
      <c r="C58" s="20">
        <f t="shared" si="3"/>
        <v>0</v>
      </c>
      <c r="D58" s="20">
        <f t="shared" si="4"/>
        <v>0</v>
      </c>
      <c r="E58" s="20">
        <f t="shared" si="5"/>
        <v>0</v>
      </c>
    </row>
    <row r="59" spans="1:8" x14ac:dyDescent="0.3">
      <c r="A59" s="20">
        <f>'ber. elders gebr. Ahk Vordering'!C31</f>
        <v>0</v>
      </c>
      <c r="B59" s="20">
        <f>'ber. elders gebr. Ahk Vordering'!E31</f>
        <v>0</v>
      </c>
      <c r="D59" s="20">
        <f t="shared" si="4"/>
        <v>0</v>
      </c>
    </row>
    <row r="62" spans="1:8" x14ac:dyDescent="0.3">
      <c r="A62" s="20" t="s">
        <v>136</v>
      </c>
    </row>
    <row r="63" spans="1:8" x14ac:dyDescent="0.3">
      <c r="A63" s="20" t="s">
        <v>74</v>
      </c>
      <c r="H63" s="20" t="s">
        <v>75</v>
      </c>
    </row>
    <row r="64" spans="1:8" x14ac:dyDescent="0.3">
      <c r="A64" s="20">
        <f>'Elders gebr. Ahk vord dir brut '!C19</f>
        <v>0</v>
      </c>
      <c r="B64" s="20">
        <f>'Elders gebr. Ahk vord dir brut '!E19</f>
        <v>0</v>
      </c>
      <c r="C64" s="20">
        <f t="shared" ref="C64:C75" si="6">ROUND(IF(A64*$G$30&lt;$C$2,A64*$G$30,$C$2),2)</f>
        <v>0</v>
      </c>
      <c r="D64" s="20">
        <f>IF(A64&lt;&gt;0,0,ROUND(IF(B64*$H$30&lt;$C$2,B64*$H$30,$C$2),2))</f>
        <v>0</v>
      </c>
      <c r="E64" s="20">
        <f>LARGE(C64:D64,1)</f>
        <v>0</v>
      </c>
      <c r="G64" s="102">
        <f>VLOOKUP(JAAR!$F$15,Percentages!$A$4:$G$35,4)</f>
        <v>0.32518999999999998</v>
      </c>
      <c r="H64" s="102">
        <f>VLOOKUP(JAAR!$F$15,Percentages!$A$4:$G$35,3)</f>
        <v>0.371</v>
      </c>
    </row>
    <row r="65" spans="1:5" x14ac:dyDescent="0.3">
      <c r="A65" s="20">
        <f>'Elders gebr. Ahk vord dir brut '!C20</f>
        <v>0</v>
      </c>
      <c r="B65" s="20">
        <f>'Elders gebr. Ahk vord dir brut '!E20</f>
        <v>0</v>
      </c>
      <c r="C65" s="20">
        <f t="shared" si="6"/>
        <v>0</v>
      </c>
      <c r="D65" s="20">
        <f t="shared" ref="D65:D76" si="7">IF(A65&lt;&gt;0,0,ROUND(IF(B65*$H$30&lt;$C$2,B65*$H$30,$C$2),2))</f>
        <v>0</v>
      </c>
      <c r="E65" s="20">
        <f t="shared" ref="E65:E75" si="8">LARGE(C65:D65,1)</f>
        <v>0</v>
      </c>
    </row>
    <row r="66" spans="1:5" x14ac:dyDescent="0.3">
      <c r="A66" s="20">
        <f>'Elders gebr. Ahk vord dir brut '!C21</f>
        <v>0</v>
      </c>
      <c r="B66" s="20">
        <f>'Elders gebr. Ahk vord dir brut '!E21</f>
        <v>0</v>
      </c>
      <c r="C66" s="20">
        <f t="shared" si="6"/>
        <v>0</v>
      </c>
      <c r="D66" s="20">
        <f t="shared" si="7"/>
        <v>0</v>
      </c>
      <c r="E66" s="20">
        <f t="shared" si="8"/>
        <v>0</v>
      </c>
    </row>
    <row r="67" spans="1:5" x14ac:dyDescent="0.3">
      <c r="A67" s="20">
        <f>'Elders gebr. Ahk vord dir brut '!C22</f>
        <v>0</v>
      </c>
      <c r="B67" s="20">
        <f>'Elders gebr. Ahk vord dir brut '!E22</f>
        <v>0</v>
      </c>
      <c r="C67" s="20">
        <f t="shared" si="6"/>
        <v>0</v>
      </c>
      <c r="D67" s="20">
        <f t="shared" si="7"/>
        <v>0</v>
      </c>
      <c r="E67" s="20">
        <f t="shared" si="8"/>
        <v>0</v>
      </c>
    </row>
    <row r="68" spans="1:5" x14ac:dyDescent="0.3">
      <c r="A68" s="20">
        <f>'Elders gebr. Ahk vord dir brut '!C23</f>
        <v>0</v>
      </c>
      <c r="B68" s="20">
        <f>'Elders gebr. Ahk vord dir brut '!E23</f>
        <v>0</v>
      </c>
      <c r="C68" s="20">
        <f t="shared" si="6"/>
        <v>0</v>
      </c>
      <c r="D68" s="20">
        <f t="shared" si="7"/>
        <v>0</v>
      </c>
      <c r="E68" s="20">
        <f t="shared" si="8"/>
        <v>0</v>
      </c>
    </row>
    <row r="69" spans="1:5" x14ac:dyDescent="0.3">
      <c r="A69" s="20">
        <f>'Elders gebr. Ahk vord dir brut '!C24</f>
        <v>0</v>
      </c>
      <c r="B69" s="20">
        <f>'Elders gebr. Ahk vord dir brut '!E24</f>
        <v>0</v>
      </c>
      <c r="C69" s="20">
        <f t="shared" si="6"/>
        <v>0</v>
      </c>
      <c r="D69" s="20">
        <f t="shared" si="7"/>
        <v>0</v>
      </c>
      <c r="E69" s="20">
        <f t="shared" si="8"/>
        <v>0</v>
      </c>
    </row>
    <row r="70" spans="1:5" x14ac:dyDescent="0.3">
      <c r="A70" s="20">
        <f>'Elders gebr. Ahk vord dir brut '!C25</f>
        <v>0</v>
      </c>
      <c r="B70" s="20">
        <f>'Elders gebr. Ahk vord dir brut '!E25</f>
        <v>0</v>
      </c>
      <c r="C70" s="20">
        <f t="shared" si="6"/>
        <v>0</v>
      </c>
      <c r="D70" s="20">
        <f t="shared" si="7"/>
        <v>0</v>
      </c>
      <c r="E70" s="20">
        <f t="shared" si="8"/>
        <v>0</v>
      </c>
    </row>
    <row r="71" spans="1:5" x14ac:dyDescent="0.3">
      <c r="A71" s="20">
        <f>'Elders gebr. Ahk vord dir brut '!C26</f>
        <v>0</v>
      </c>
      <c r="B71" s="20">
        <f>'Elders gebr. Ahk vord dir brut '!E26</f>
        <v>0</v>
      </c>
      <c r="C71" s="20">
        <f t="shared" si="6"/>
        <v>0</v>
      </c>
      <c r="D71" s="20">
        <f t="shared" si="7"/>
        <v>0</v>
      </c>
      <c r="E71" s="20">
        <f t="shared" si="8"/>
        <v>0</v>
      </c>
    </row>
    <row r="72" spans="1:5" x14ac:dyDescent="0.3">
      <c r="A72" s="20">
        <f>'Elders gebr. Ahk vord dir brut '!C27</f>
        <v>0</v>
      </c>
      <c r="B72" s="20">
        <f>'Elders gebr. Ahk vord dir brut '!E27</f>
        <v>0</v>
      </c>
      <c r="C72" s="20">
        <f t="shared" si="6"/>
        <v>0</v>
      </c>
      <c r="D72" s="20">
        <f t="shared" si="7"/>
        <v>0</v>
      </c>
      <c r="E72" s="20">
        <f t="shared" si="8"/>
        <v>0</v>
      </c>
    </row>
    <row r="73" spans="1:5" x14ac:dyDescent="0.3">
      <c r="A73" s="20">
        <f>'Elders gebr. Ahk vord dir brut '!C28</f>
        <v>0</v>
      </c>
      <c r="B73" s="20">
        <f>'Elders gebr. Ahk vord dir brut '!E28</f>
        <v>0</v>
      </c>
      <c r="C73" s="20">
        <f t="shared" si="6"/>
        <v>0</v>
      </c>
      <c r="D73" s="20">
        <f t="shared" si="7"/>
        <v>0</v>
      </c>
      <c r="E73" s="20">
        <f t="shared" si="8"/>
        <v>0</v>
      </c>
    </row>
    <row r="74" spans="1:5" x14ac:dyDescent="0.3">
      <c r="A74" s="20">
        <f>'Elders gebr. Ahk vord dir brut '!C29</f>
        <v>0</v>
      </c>
      <c r="B74" s="20">
        <f>'Elders gebr. Ahk vord dir brut '!E29</f>
        <v>0</v>
      </c>
      <c r="C74" s="20">
        <f t="shared" si="6"/>
        <v>0</v>
      </c>
      <c r="D74" s="20">
        <f t="shared" si="7"/>
        <v>0</v>
      </c>
      <c r="E74" s="20">
        <f t="shared" si="8"/>
        <v>0</v>
      </c>
    </row>
    <row r="75" spans="1:5" x14ac:dyDescent="0.3">
      <c r="A75" s="20">
        <f>'Elders gebr. Ahk vord dir brut '!C30</f>
        <v>0</v>
      </c>
      <c r="B75" s="20">
        <f>'Elders gebr. Ahk vord dir brut '!E30</f>
        <v>0</v>
      </c>
      <c r="C75" s="20">
        <f t="shared" si="6"/>
        <v>0</v>
      </c>
      <c r="D75" s="20">
        <f t="shared" si="7"/>
        <v>0</v>
      </c>
      <c r="E75" s="20">
        <f t="shared" si="8"/>
        <v>0</v>
      </c>
    </row>
    <row r="76" spans="1:5" x14ac:dyDescent="0.3">
      <c r="A76" s="20">
        <f>'Elders gebr. Ahk vord dir brut '!C31</f>
        <v>0</v>
      </c>
      <c r="B76" s="20">
        <f>'Elders gebr. Ahk vord dir brut '!E31</f>
        <v>0</v>
      </c>
      <c r="D76" s="20">
        <f t="shared" si="7"/>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sheetPr>
  <dimension ref="A1:K54"/>
  <sheetViews>
    <sheetView workbookViewId="0">
      <selection activeCell="K16" sqref="K16"/>
    </sheetView>
  </sheetViews>
  <sheetFormatPr defaultRowHeight="14.4" x14ac:dyDescent="0.3"/>
  <cols>
    <col min="1" max="1" width="25.33203125" customWidth="1"/>
    <col min="2" max="2" width="11.88671875" customWidth="1"/>
    <col min="3" max="3" width="6.33203125" customWidth="1"/>
    <col min="4" max="4" width="11.88671875" customWidth="1"/>
    <col min="5" max="5" width="3" customWidth="1"/>
    <col min="6" max="6" width="5.6640625" customWidth="1"/>
    <col min="7" max="7" width="11" customWidth="1"/>
    <col min="8" max="8" width="10.6640625" customWidth="1"/>
    <col min="9" max="9" width="11" customWidth="1"/>
  </cols>
  <sheetData>
    <row r="1" spans="1:8" ht="22.8" x14ac:dyDescent="0.4">
      <c r="A1" s="134" t="str">
        <f>"Bepaling elders gebruikte Ahk "&amp;JAAR!F15</f>
        <v>Bepaling elders gebruikte Ahk 2021</v>
      </c>
      <c r="B1" s="135"/>
      <c r="C1" s="135"/>
      <c r="D1" s="135"/>
      <c r="E1" s="135"/>
      <c r="F1" s="135"/>
      <c r="G1" s="135"/>
      <c r="H1" s="135"/>
    </row>
    <row r="2" spans="1:8" s="2" customFormat="1" ht="13.2" x14ac:dyDescent="0.25">
      <c r="A2" s="136"/>
      <c r="B2" s="137"/>
      <c r="C2" s="137"/>
      <c r="D2" s="137"/>
      <c r="E2" s="137"/>
      <c r="F2" s="137"/>
      <c r="G2" s="137"/>
      <c r="H2" s="137"/>
    </row>
    <row r="3" spans="1:8" s="2" customFormat="1" ht="20.25" customHeight="1" x14ac:dyDescent="0.25">
      <c r="A3" s="138" t="s">
        <v>47</v>
      </c>
      <c r="B3" s="328">
        <f>JAAR!D6</f>
        <v>0</v>
      </c>
      <c r="C3" s="328"/>
      <c r="D3" s="328"/>
      <c r="E3" s="328"/>
      <c r="F3" s="329"/>
      <c r="G3" s="137"/>
      <c r="H3" s="137"/>
    </row>
    <row r="4" spans="1:8" s="2" customFormat="1" ht="20.25" customHeight="1" x14ac:dyDescent="0.25">
      <c r="A4" s="141" t="s">
        <v>12</v>
      </c>
      <c r="B4" s="330">
        <f>JAAR!D8</f>
        <v>0</v>
      </c>
      <c r="C4" s="330"/>
      <c r="D4" s="330"/>
      <c r="E4" s="330"/>
      <c r="F4" s="331"/>
      <c r="G4" s="137"/>
      <c r="H4" s="137"/>
    </row>
    <row r="5" spans="1:8" x14ac:dyDescent="0.3">
      <c r="A5" s="137"/>
      <c r="B5" s="137"/>
      <c r="C5" s="137"/>
      <c r="D5" s="137"/>
      <c r="E5" s="137"/>
      <c r="F5" s="137"/>
      <c r="G5" s="137"/>
      <c r="H5" s="137"/>
    </row>
    <row r="6" spans="1:8" x14ac:dyDescent="0.3">
      <c r="A6" s="137"/>
      <c r="B6" s="137"/>
      <c r="C6" s="137"/>
      <c r="D6" s="137"/>
      <c r="E6" s="144"/>
      <c r="F6" s="137"/>
      <c r="G6" s="137"/>
      <c r="H6" s="137"/>
    </row>
    <row r="7" spans="1:8" x14ac:dyDescent="0.3">
      <c r="A7" s="137" t="s">
        <v>13</v>
      </c>
      <c r="B7" s="137"/>
      <c r="C7" s="137"/>
      <c r="D7" s="137"/>
      <c r="E7" s="137"/>
      <c r="F7" s="137"/>
      <c r="G7" s="137"/>
      <c r="H7" s="137"/>
    </row>
    <row r="8" spans="1:8" x14ac:dyDescent="0.3">
      <c r="A8" s="137" t="s">
        <v>142</v>
      </c>
      <c r="B8" s="137"/>
      <c r="C8" s="137"/>
      <c r="D8" s="137"/>
      <c r="E8" s="137"/>
      <c r="F8" s="145"/>
      <c r="G8" s="137"/>
      <c r="H8" s="137"/>
    </row>
    <row r="9" spans="1:8" x14ac:dyDescent="0.3">
      <c r="A9" s="137" t="s">
        <v>15</v>
      </c>
      <c r="B9" s="137"/>
      <c r="C9" s="137"/>
      <c r="D9" s="137"/>
      <c r="E9" s="146"/>
      <c r="F9" s="137"/>
      <c r="G9" s="137"/>
      <c r="H9" s="137"/>
    </row>
    <row r="10" spans="1:8" x14ac:dyDescent="0.3">
      <c r="A10" s="137" t="s">
        <v>143</v>
      </c>
      <c r="B10" s="137"/>
      <c r="C10" s="137"/>
      <c r="D10" s="137"/>
      <c r="E10" s="146"/>
      <c r="F10" s="137"/>
      <c r="G10" s="137"/>
      <c r="H10" s="137"/>
    </row>
    <row r="11" spans="1:8" x14ac:dyDescent="0.3">
      <c r="A11" s="137" t="s">
        <v>128</v>
      </c>
      <c r="B11" s="137"/>
      <c r="C11" s="137"/>
      <c r="D11" s="137"/>
      <c r="E11" s="146"/>
      <c r="F11" s="137"/>
      <c r="G11" s="137"/>
      <c r="H11" s="137"/>
    </row>
    <row r="12" spans="1:8" x14ac:dyDescent="0.3">
      <c r="A12" s="137" t="s">
        <v>129</v>
      </c>
      <c r="B12" s="137"/>
      <c r="C12" s="137"/>
      <c r="D12" s="137"/>
      <c r="E12" s="137"/>
      <c r="F12" s="137"/>
      <c r="G12" s="137"/>
      <c r="H12" s="137"/>
    </row>
    <row r="13" spans="1:8" x14ac:dyDescent="0.3">
      <c r="A13" s="137" t="s">
        <v>130</v>
      </c>
      <c r="B13" s="137"/>
      <c r="C13" s="137"/>
      <c r="D13" s="137"/>
      <c r="E13" s="137"/>
      <c r="F13" s="137"/>
      <c r="G13" s="137"/>
      <c r="H13" s="137"/>
    </row>
    <row r="14" spans="1:8" x14ac:dyDescent="0.3">
      <c r="A14" s="137"/>
      <c r="B14" s="137"/>
      <c r="C14" s="137"/>
      <c r="D14" s="137"/>
      <c r="E14" s="137"/>
      <c r="F14" s="137"/>
      <c r="G14" s="137"/>
      <c r="H14" s="137"/>
    </row>
    <row r="15" spans="1:8" x14ac:dyDescent="0.3">
      <c r="A15" s="137"/>
      <c r="B15" s="137"/>
      <c r="C15" s="137"/>
      <c r="D15" s="137"/>
      <c r="E15" s="137"/>
      <c r="F15" s="137"/>
      <c r="G15" s="137"/>
      <c r="H15" s="137"/>
    </row>
    <row r="16" spans="1:8" x14ac:dyDescent="0.3">
      <c r="A16" s="137"/>
      <c r="B16" s="137"/>
      <c r="C16" s="137"/>
      <c r="D16" s="137"/>
      <c r="E16" s="137"/>
      <c r="F16" s="137"/>
      <c r="G16" s="137"/>
      <c r="H16" s="137"/>
    </row>
    <row r="17" spans="1:11" x14ac:dyDescent="0.3">
      <c r="A17" s="137"/>
      <c r="B17" s="147"/>
      <c r="C17" s="137"/>
      <c r="D17" s="147"/>
      <c r="E17" s="137"/>
      <c r="F17" s="137"/>
      <c r="G17" s="137"/>
      <c r="H17" s="137"/>
    </row>
    <row r="18" spans="1:11" x14ac:dyDescent="0.3">
      <c r="A18" s="148" t="s">
        <v>16</v>
      </c>
      <c r="B18" s="332" t="s">
        <v>17</v>
      </c>
      <c r="C18" s="157" t="s">
        <v>18</v>
      </c>
      <c r="D18" s="332" t="s">
        <v>19</v>
      </c>
      <c r="E18" s="333" t="s">
        <v>18</v>
      </c>
      <c r="F18" s="333"/>
      <c r="G18" s="150" t="s">
        <v>62</v>
      </c>
      <c r="H18" s="137"/>
    </row>
    <row r="19" spans="1:11" x14ac:dyDescent="0.3">
      <c r="A19" s="137" t="s">
        <v>20</v>
      </c>
      <c r="B19" s="326">
        <v>0</v>
      </c>
      <c r="C19" s="325">
        <f>FLOOR(B19,4.5)</f>
        <v>0</v>
      </c>
      <c r="D19" s="327">
        <v>0</v>
      </c>
      <c r="E19" s="334">
        <f>FLOOR(D19,4.5)</f>
        <v>0</v>
      </c>
      <c r="F19" s="333"/>
      <c r="G19" s="152">
        <f>Berekeningen!E47</f>
        <v>0</v>
      </c>
      <c r="H19" s="137"/>
    </row>
    <row r="20" spans="1:11" x14ac:dyDescent="0.3">
      <c r="A20" s="137" t="s">
        <v>21</v>
      </c>
      <c r="B20" s="326">
        <v>0</v>
      </c>
      <c r="C20" s="335">
        <f t="shared" ref="C20:C30" si="0">FLOOR(B20,4.5)</f>
        <v>0</v>
      </c>
      <c r="D20" s="327">
        <v>0</v>
      </c>
      <c r="E20" s="334">
        <f t="shared" ref="E20:E30" si="1">FLOOR(D20,4.5)</f>
        <v>0</v>
      </c>
      <c r="F20" s="333"/>
      <c r="G20" s="152">
        <f>Berekeningen!E48</f>
        <v>0</v>
      </c>
      <c r="H20" s="137"/>
    </row>
    <row r="21" spans="1:11" x14ac:dyDescent="0.3">
      <c r="A21" s="137" t="s">
        <v>22</v>
      </c>
      <c r="B21" s="326">
        <v>0</v>
      </c>
      <c r="C21" s="335">
        <f t="shared" si="0"/>
        <v>0</v>
      </c>
      <c r="D21" s="327">
        <v>0</v>
      </c>
      <c r="E21" s="334">
        <f t="shared" si="1"/>
        <v>0</v>
      </c>
      <c r="F21" s="333"/>
      <c r="G21" s="152">
        <f>Berekeningen!E49</f>
        <v>0</v>
      </c>
      <c r="H21" s="137"/>
      <c r="K21" s="5"/>
    </row>
    <row r="22" spans="1:11" x14ac:dyDescent="0.3">
      <c r="A22" s="137" t="s">
        <v>23</v>
      </c>
      <c r="B22" s="326"/>
      <c r="C22" s="335">
        <f>FLOOR(B22,4.5)</f>
        <v>0</v>
      </c>
      <c r="D22" s="327">
        <v>0</v>
      </c>
      <c r="E22" s="334">
        <f t="shared" si="1"/>
        <v>0</v>
      </c>
      <c r="F22" s="333"/>
      <c r="G22" s="152">
        <f>Berekeningen!E50</f>
        <v>0</v>
      </c>
      <c r="H22" s="137"/>
    </row>
    <row r="23" spans="1:11" x14ac:dyDescent="0.3">
      <c r="A23" s="137" t="s">
        <v>24</v>
      </c>
      <c r="B23" s="326">
        <v>0</v>
      </c>
      <c r="C23" s="335">
        <f>FLOOR(B23,4.5)</f>
        <v>0</v>
      </c>
      <c r="D23" s="327">
        <v>0</v>
      </c>
      <c r="E23" s="334">
        <f t="shared" si="1"/>
        <v>0</v>
      </c>
      <c r="F23" s="333"/>
      <c r="G23" s="152">
        <f>Berekeningen!E51</f>
        <v>0</v>
      </c>
      <c r="H23" s="137"/>
      <c r="K23" s="5"/>
    </row>
    <row r="24" spans="1:11" x14ac:dyDescent="0.3">
      <c r="A24" s="137" t="s">
        <v>25</v>
      </c>
      <c r="B24" s="326">
        <v>0</v>
      </c>
      <c r="C24" s="335">
        <f t="shared" si="0"/>
        <v>0</v>
      </c>
      <c r="D24" s="327">
        <v>0</v>
      </c>
      <c r="E24" s="334">
        <f t="shared" si="1"/>
        <v>0</v>
      </c>
      <c r="F24" s="333"/>
      <c r="G24" s="152">
        <f>Berekeningen!E52</f>
        <v>0</v>
      </c>
      <c r="H24" s="137"/>
    </row>
    <row r="25" spans="1:11" x14ac:dyDescent="0.3">
      <c r="A25" s="137" t="s">
        <v>26</v>
      </c>
      <c r="B25" s="326">
        <v>0</v>
      </c>
      <c r="C25" s="335">
        <f t="shared" si="0"/>
        <v>0</v>
      </c>
      <c r="D25" s="327">
        <v>0</v>
      </c>
      <c r="E25" s="334">
        <f t="shared" si="1"/>
        <v>0</v>
      </c>
      <c r="F25" s="333"/>
      <c r="G25" s="152">
        <f>Berekeningen!E53</f>
        <v>0</v>
      </c>
      <c r="H25" s="137"/>
    </row>
    <row r="26" spans="1:11" x14ac:dyDescent="0.3">
      <c r="A26" s="137" t="s">
        <v>27</v>
      </c>
      <c r="B26" s="326">
        <v>0</v>
      </c>
      <c r="C26" s="335">
        <f t="shared" si="0"/>
        <v>0</v>
      </c>
      <c r="D26" s="327">
        <v>0</v>
      </c>
      <c r="E26" s="334">
        <f t="shared" si="1"/>
        <v>0</v>
      </c>
      <c r="F26" s="333"/>
      <c r="G26" s="152">
        <f>Berekeningen!E54</f>
        <v>0</v>
      </c>
      <c r="H26" s="137"/>
    </row>
    <row r="27" spans="1:11" x14ac:dyDescent="0.3">
      <c r="A27" s="137" t="s">
        <v>28</v>
      </c>
      <c r="B27" s="326">
        <v>0</v>
      </c>
      <c r="C27" s="335">
        <f t="shared" si="0"/>
        <v>0</v>
      </c>
      <c r="D27" s="327">
        <v>0</v>
      </c>
      <c r="E27" s="334">
        <f t="shared" si="1"/>
        <v>0</v>
      </c>
      <c r="F27" s="333"/>
      <c r="G27" s="152">
        <f>Berekeningen!E55</f>
        <v>0</v>
      </c>
      <c r="H27" s="137"/>
    </row>
    <row r="28" spans="1:11" x14ac:dyDescent="0.3">
      <c r="A28" s="137" t="s">
        <v>29</v>
      </c>
      <c r="B28" s="326">
        <v>0</v>
      </c>
      <c r="C28" s="335">
        <f t="shared" si="0"/>
        <v>0</v>
      </c>
      <c r="D28" s="327">
        <v>0</v>
      </c>
      <c r="E28" s="334">
        <f t="shared" si="1"/>
        <v>0</v>
      </c>
      <c r="F28" s="333"/>
      <c r="G28" s="152">
        <f>Berekeningen!E56</f>
        <v>0</v>
      </c>
      <c r="H28" s="137"/>
    </row>
    <row r="29" spans="1:11" x14ac:dyDescent="0.3">
      <c r="A29" s="137" t="s">
        <v>30</v>
      </c>
      <c r="B29" s="326">
        <v>0</v>
      </c>
      <c r="C29" s="335">
        <f t="shared" si="0"/>
        <v>0</v>
      </c>
      <c r="D29" s="327">
        <v>0</v>
      </c>
      <c r="E29" s="334">
        <f t="shared" si="1"/>
        <v>0</v>
      </c>
      <c r="F29" s="333"/>
      <c r="G29" s="152">
        <f>Berekeningen!E57</f>
        <v>0</v>
      </c>
      <c r="H29" s="137"/>
    </row>
    <row r="30" spans="1:11" x14ac:dyDescent="0.3">
      <c r="A30" s="137" t="s">
        <v>31</v>
      </c>
      <c r="B30" s="326">
        <v>0</v>
      </c>
      <c r="C30" s="335">
        <f t="shared" si="0"/>
        <v>0</v>
      </c>
      <c r="D30" s="327">
        <v>0</v>
      </c>
      <c r="E30" s="334">
        <f t="shared" si="1"/>
        <v>0</v>
      </c>
      <c r="F30" s="333"/>
      <c r="G30" s="152">
        <f>Berekeningen!E58</f>
        <v>0</v>
      </c>
      <c r="H30" s="137"/>
    </row>
    <row r="31" spans="1:11" x14ac:dyDescent="0.3">
      <c r="A31" s="137"/>
      <c r="B31" s="154"/>
      <c r="C31" s="151"/>
      <c r="D31" s="154"/>
      <c r="E31" s="137"/>
      <c r="F31" s="145"/>
      <c r="G31" s="137"/>
      <c r="H31" s="137"/>
    </row>
    <row r="32" spans="1:11" x14ac:dyDescent="0.3">
      <c r="A32" s="137"/>
      <c r="B32" s="137"/>
      <c r="C32" s="137"/>
      <c r="D32" s="137"/>
      <c r="E32" s="137"/>
      <c r="F32" s="137"/>
      <c r="G32" s="137"/>
      <c r="H32" s="137"/>
    </row>
    <row r="33" spans="1:9" x14ac:dyDescent="0.3">
      <c r="A33" s="135" t="s">
        <v>32</v>
      </c>
      <c r="B33" s="135"/>
      <c r="C33" s="135"/>
      <c r="D33" s="135"/>
      <c r="E33" s="135"/>
      <c r="F33" s="159" t="s">
        <v>6</v>
      </c>
      <c r="G33" s="336">
        <f>SUM(G19:G31)</f>
        <v>0</v>
      </c>
      <c r="H33" s="137"/>
    </row>
    <row r="34" spans="1:9" x14ac:dyDescent="0.3">
      <c r="A34" s="137"/>
      <c r="B34" s="137"/>
      <c r="C34" s="137"/>
      <c r="D34" s="137"/>
      <c r="E34" s="137"/>
      <c r="F34" s="137"/>
      <c r="G34" s="137"/>
      <c r="H34" s="137"/>
    </row>
    <row r="35" spans="1:9" x14ac:dyDescent="0.3">
      <c r="A35" s="15"/>
      <c r="B35" s="15"/>
      <c r="C35" s="15"/>
      <c r="D35" s="15"/>
      <c r="E35" s="15"/>
      <c r="F35" s="15"/>
      <c r="G35" s="15"/>
      <c r="H35" s="11"/>
      <c r="I35" s="11"/>
    </row>
    <row r="36" spans="1:9" s="19" customFormat="1" ht="17.25" customHeight="1" x14ac:dyDescent="0.3">
      <c r="A36" s="21"/>
      <c r="B36" s="21"/>
      <c r="C36" s="21"/>
      <c r="D36" s="21"/>
      <c r="E36" s="21"/>
      <c r="F36" s="21"/>
      <c r="G36" s="21"/>
    </row>
    <row r="37" spans="1:9" s="19" customFormat="1" ht="17.25" customHeight="1" x14ac:dyDescent="0.3">
      <c r="A37" s="21"/>
      <c r="B37" s="21"/>
      <c r="C37" s="22"/>
      <c r="D37" s="22"/>
      <c r="E37" s="21"/>
      <c r="F37" s="21"/>
      <c r="G37" s="23"/>
    </row>
    <row r="38" spans="1:9" s="19" customFormat="1" ht="17.25" customHeight="1" x14ac:dyDescent="0.3">
      <c r="A38" s="21"/>
      <c r="B38" s="21"/>
      <c r="C38" s="22"/>
      <c r="D38" s="22"/>
      <c r="E38" s="21"/>
      <c r="F38" s="21"/>
      <c r="G38" s="23"/>
    </row>
    <row r="39" spans="1:9" s="19" customFormat="1" ht="17.25" customHeight="1" x14ac:dyDescent="0.3">
      <c r="A39" s="21"/>
      <c r="B39" s="21"/>
      <c r="C39" s="22"/>
      <c r="D39" s="22"/>
      <c r="E39" s="21"/>
      <c r="F39" s="21"/>
      <c r="G39" s="23"/>
    </row>
    <row r="40" spans="1:9" s="19" customFormat="1" ht="17.25" customHeight="1" x14ac:dyDescent="0.3">
      <c r="A40" s="21"/>
      <c r="B40" s="21"/>
      <c r="C40" s="22"/>
      <c r="D40" s="22"/>
      <c r="E40" s="21"/>
      <c r="F40" s="21"/>
      <c r="G40" s="23"/>
    </row>
    <row r="41" spans="1:9" s="19" customFormat="1" ht="17.25" customHeight="1" x14ac:dyDescent="0.3">
      <c r="A41" s="21"/>
      <c r="B41" s="21"/>
      <c r="C41" s="22"/>
      <c r="D41" s="22"/>
      <c r="E41" s="21"/>
      <c r="F41" s="21"/>
      <c r="G41" s="23"/>
    </row>
    <row r="42" spans="1:9" s="19" customFormat="1" ht="17.25" customHeight="1" x14ac:dyDescent="0.3">
      <c r="A42" s="21"/>
      <c r="B42" s="21"/>
      <c r="C42" s="22"/>
      <c r="D42" s="22"/>
      <c r="E42" s="21"/>
      <c r="F42" s="21"/>
      <c r="G42" s="23"/>
      <c r="I42" s="24"/>
    </row>
    <row r="43" spans="1:9" s="19" customFormat="1" ht="17.25" customHeight="1" x14ac:dyDescent="0.3">
      <c r="A43" s="21"/>
      <c r="B43" s="21"/>
      <c r="C43" s="22"/>
      <c r="D43" s="22"/>
      <c r="E43" s="21"/>
      <c r="F43" s="21"/>
      <c r="G43" s="23"/>
    </row>
    <row r="44" spans="1:9" s="19" customFormat="1" ht="17.25" customHeight="1" x14ac:dyDescent="0.3">
      <c r="A44" s="21"/>
      <c r="B44" s="21"/>
      <c r="C44" s="22"/>
      <c r="D44" s="22"/>
      <c r="E44" s="21"/>
      <c r="F44" s="21"/>
      <c r="G44" s="23"/>
    </row>
    <row r="45" spans="1:9" s="19" customFormat="1" ht="17.25" customHeight="1" x14ac:dyDescent="0.3">
      <c r="A45" s="21"/>
      <c r="B45" s="21"/>
      <c r="C45" s="22"/>
      <c r="D45" s="22"/>
      <c r="E45" s="21"/>
      <c r="F45" s="21"/>
      <c r="G45" s="23"/>
    </row>
    <row r="46" spans="1:9" s="19" customFormat="1" ht="17.25" customHeight="1" x14ac:dyDescent="0.3">
      <c r="A46" s="21"/>
      <c r="B46" s="21"/>
      <c r="C46" s="22"/>
      <c r="D46" s="22"/>
      <c r="E46" s="21"/>
      <c r="F46" s="21"/>
      <c r="G46" s="23"/>
    </row>
    <row r="47" spans="1:9" s="19" customFormat="1" ht="17.25" customHeight="1" x14ac:dyDescent="0.3">
      <c r="A47" s="21"/>
      <c r="B47" s="21"/>
      <c r="C47" s="22"/>
      <c r="D47" s="22"/>
      <c r="E47" s="21"/>
      <c r="F47" s="21"/>
      <c r="G47" s="23"/>
    </row>
    <row r="48" spans="1:9" s="19" customFormat="1" ht="17.25" customHeight="1" x14ac:dyDescent="0.3">
      <c r="A48" s="21"/>
      <c r="B48" s="21"/>
      <c r="C48" s="22"/>
      <c r="D48" s="22"/>
      <c r="E48" s="21"/>
      <c r="F48" s="21"/>
      <c r="G48" s="23"/>
    </row>
    <row r="49" spans="1:9" s="19" customFormat="1" ht="17.25" customHeight="1" x14ac:dyDescent="0.3">
      <c r="A49" s="21"/>
      <c r="B49" s="21"/>
      <c r="C49" s="21"/>
      <c r="D49" s="21"/>
      <c r="E49" s="21"/>
      <c r="F49" s="21"/>
      <c r="G49" s="21"/>
    </row>
    <row r="50" spans="1:9" s="19" customFormat="1" ht="17.25" customHeight="1" x14ac:dyDescent="0.3">
      <c r="A50" s="25"/>
      <c r="B50" s="25"/>
      <c r="C50" s="25"/>
      <c r="D50" s="25"/>
      <c r="E50" s="25"/>
      <c r="F50" s="25"/>
      <c r="G50" s="25"/>
    </row>
    <row r="51" spans="1:9" ht="17.25" customHeight="1" x14ac:dyDescent="0.3">
      <c r="A51" s="7"/>
      <c r="B51" s="6"/>
      <c r="C51" s="6"/>
      <c r="D51" s="6"/>
      <c r="E51" s="6"/>
      <c r="F51" s="6"/>
      <c r="G51" s="6"/>
      <c r="H51" s="7"/>
      <c r="I51" s="7"/>
    </row>
    <row r="52" spans="1:9" ht="17.25" customHeight="1" x14ac:dyDescent="0.3">
      <c r="A52" s="7"/>
      <c r="B52" s="6"/>
      <c r="C52" s="7"/>
      <c r="D52" s="7"/>
      <c r="E52" s="7"/>
      <c r="F52" s="7"/>
      <c r="G52" s="7"/>
      <c r="H52" s="7"/>
      <c r="I52" s="7"/>
    </row>
    <row r="53" spans="1:9" ht="17.25" customHeight="1" x14ac:dyDescent="0.3">
      <c r="A53" s="6"/>
      <c r="B53" s="6"/>
      <c r="C53" s="7"/>
      <c r="D53" s="7"/>
      <c r="E53" s="7"/>
      <c r="F53" s="7"/>
      <c r="G53" s="7"/>
      <c r="H53" s="7"/>
      <c r="I53" s="7"/>
    </row>
    <row r="54" spans="1:9" ht="17.25" customHeight="1" x14ac:dyDescent="0.3">
      <c r="A54" s="7"/>
      <c r="B54" s="7"/>
      <c r="C54" s="7"/>
      <c r="D54" s="7"/>
      <c r="E54" s="7"/>
      <c r="F54" s="7"/>
      <c r="G54" s="7"/>
      <c r="H54" s="7"/>
      <c r="I54" s="7"/>
    </row>
  </sheetData>
  <sheetProtection algorithmName="SHA-512" hashValue="NvfBiOBeOJ0uzpwHLkEB90cnUFlq6Jcx0ixtbr6IJoDEENMJKY1Jzvr+opZokufbosJUDPBg3MRB1abUy+Bfjw==" saltValue="Sc3FoiGRZlkxJyS08EKL9g==" spinCount="100000" sheet="1" objects="1" scenarios="1"/>
  <mergeCells count="2">
    <mergeCell ref="B3:F3"/>
    <mergeCell ref="B4:F4"/>
  </mergeCells>
  <phoneticPr fontId="8"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B594F-46DB-4DEF-899A-220D6BE85D83}">
  <sheetPr>
    <tabColor theme="0" tint="-0.34998626667073579"/>
  </sheetPr>
  <dimension ref="A1:K108"/>
  <sheetViews>
    <sheetView showGridLines="0" zoomScale="130" zoomScaleNormal="130" workbookViewId="0">
      <selection activeCell="J74" sqref="J74"/>
    </sheetView>
  </sheetViews>
  <sheetFormatPr defaultRowHeight="14.4" x14ac:dyDescent="0.3"/>
  <cols>
    <col min="1" max="1" width="2.33203125" style="133" customWidth="1"/>
    <col min="2" max="2" width="30.109375" style="133" customWidth="1"/>
    <col min="3" max="3" width="8.88671875" style="133"/>
    <col min="4" max="4" width="13.44140625" style="133" bestFit="1" customWidth="1"/>
    <col min="5" max="5" width="14.109375" style="133" customWidth="1"/>
    <col min="6" max="6" width="14.5546875" style="133" bestFit="1" customWidth="1"/>
    <col min="7" max="7" width="3" style="133" customWidth="1"/>
    <col min="8" max="8" width="7.109375" style="133" customWidth="1"/>
    <col min="9" max="9" width="12.6640625" style="133" customWidth="1"/>
    <col min="10" max="10" width="8.88671875" style="133"/>
    <col min="11" max="11" width="16.6640625" style="133" bestFit="1" customWidth="1"/>
    <col min="12" max="16384" width="8.88671875" style="133"/>
  </cols>
  <sheetData>
    <row r="1" spans="1:9" ht="31.5" customHeight="1" x14ac:dyDescent="0.3"/>
    <row r="2" spans="1:9" ht="23.4" x14ac:dyDescent="0.45">
      <c r="A2" s="239" t="str">
        <f>"Bruteren vordering "&amp;JAAR!F15&amp;" personen &lt; Pens. Ger. Leeftijd"</f>
        <v>Bruteren vordering 2021 personen &lt; Pens. Ger. Leeftijd</v>
      </c>
      <c r="B2" s="240"/>
      <c r="C2" s="240"/>
      <c r="D2" s="240"/>
      <c r="E2" s="240"/>
      <c r="F2" s="240"/>
      <c r="G2" s="241"/>
    </row>
    <row r="3" spans="1:9" ht="12.75" customHeight="1" x14ac:dyDescent="0.3">
      <c r="A3" s="242"/>
      <c r="B3" s="243"/>
      <c r="C3" s="243"/>
      <c r="D3" s="243"/>
      <c r="E3" s="243"/>
      <c r="F3" s="243"/>
      <c r="G3" s="243"/>
      <c r="H3" s="241"/>
      <c r="I3" s="241"/>
    </row>
    <row r="4" spans="1:9" ht="13.5" customHeight="1" x14ac:dyDescent="0.3">
      <c r="A4" s="244"/>
      <c r="B4" s="245" t="s">
        <v>40</v>
      </c>
      <c r="C4" s="246">
        <f>JAAR!D6</f>
        <v>0</v>
      </c>
      <c r="D4" s="247"/>
      <c r="E4" s="248"/>
      <c r="F4" s="249"/>
      <c r="G4" s="249"/>
      <c r="H4" s="241"/>
      <c r="I4" s="250"/>
    </row>
    <row r="5" spans="1:9" ht="13.5" customHeight="1" x14ac:dyDescent="0.3">
      <c r="A5" s="244"/>
      <c r="B5" s="251" t="s">
        <v>0</v>
      </c>
      <c r="C5" s="246">
        <f>JAAR!D8</f>
        <v>0</v>
      </c>
      <c r="D5" s="247"/>
      <c r="E5" s="248"/>
      <c r="F5" s="249"/>
      <c r="G5" s="249"/>
      <c r="H5" s="241"/>
      <c r="I5" s="241"/>
    </row>
    <row r="6" spans="1:9" ht="12.75" customHeight="1" x14ac:dyDescent="0.3">
      <c r="A6" s="244"/>
      <c r="B6" s="249"/>
      <c r="C6" s="249"/>
      <c r="D6" s="249"/>
      <c r="E6" s="249"/>
      <c r="F6" s="249"/>
      <c r="G6" s="249"/>
      <c r="H6" s="241"/>
      <c r="I6" s="241"/>
    </row>
    <row r="7" spans="1:9" ht="12.75" customHeight="1" x14ac:dyDescent="0.3">
      <c r="A7" s="244"/>
      <c r="B7" s="249" t="str">
        <f>"Neem over uit het oorspronkelijke jaarwerk "&amp;parameters!B1</f>
        <v>Neem over uit het oorspronkelijke jaarwerk 2021</v>
      </c>
      <c r="C7" s="249"/>
      <c r="D7" s="249"/>
      <c r="E7" s="249"/>
      <c r="F7" s="249"/>
      <c r="G7" s="249"/>
      <c r="H7" s="241"/>
      <c r="I7" s="241"/>
    </row>
    <row r="8" spans="1:9" ht="12.75" customHeight="1" x14ac:dyDescent="0.3">
      <c r="A8" s="249" t="s">
        <v>111</v>
      </c>
      <c r="B8" s="249"/>
      <c r="C8" s="249"/>
      <c r="D8" s="249"/>
      <c r="E8" s="249"/>
      <c r="F8" s="252">
        <v>0</v>
      </c>
      <c r="G8" s="249"/>
      <c r="H8" s="241"/>
      <c r="I8" s="241"/>
    </row>
    <row r="9" spans="1:9" ht="12.75" customHeight="1" x14ac:dyDescent="0.3">
      <c r="A9" s="244"/>
      <c r="B9" s="249"/>
      <c r="C9" s="249"/>
      <c r="D9" s="249"/>
      <c r="E9" s="253" t="s">
        <v>77</v>
      </c>
      <c r="F9" s="252">
        <v>0</v>
      </c>
      <c r="G9" s="249"/>
      <c r="H9" s="241"/>
      <c r="I9" s="241"/>
    </row>
    <row r="10" spans="1:9" ht="12.75" customHeight="1" x14ac:dyDescent="0.3">
      <c r="A10" s="244"/>
      <c r="B10" s="249"/>
      <c r="C10" s="249"/>
      <c r="D10" s="249"/>
      <c r="E10" s="253" t="s">
        <v>78</v>
      </c>
      <c r="F10" s="252">
        <v>0</v>
      </c>
      <c r="G10" s="249"/>
      <c r="H10" s="241"/>
      <c r="I10" s="241"/>
    </row>
    <row r="11" spans="1:9" ht="12.75" customHeight="1" x14ac:dyDescent="0.3">
      <c r="A11" s="244"/>
      <c r="B11" s="249"/>
      <c r="C11" s="249"/>
      <c r="D11" s="249"/>
      <c r="E11" s="253" t="s">
        <v>79</v>
      </c>
      <c r="F11" s="252">
        <v>0</v>
      </c>
      <c r="G11" s="249"/>
      <c r="H11" s="241"/>
      <c r="I11" s="241"/>
    </row>
    <row r="12" spans="1:9" ht="9.75" customHeight="1" x14ac:dyDescent="0.3">
      <c r="A12" s="244"/>
      <c r="B12" s="249"/>
      <c r="C12" s="249"/>
      <c r="D12" s="249"/>
      <c r="E12" s="253"/>
      <c r="F12" s="254"/>
      <c r="G12" s="249"/>
      <c r="H12" s="241"/>
      <c r="I12" s="241"/>
    </row>
    <row r="13" spans="1:9" ht="12.75" customHeight="1" x14ac:dyDescent="0.3">
      <c r="A13" s="244"/>
      <c r="B13" s="255" t="s">
        <v>34</v>
      </c>
      <c r="C13" s="249"/>
      <c r="D13" s="249"/>
      <c r="E13" s="253"/>
      <c r="F13" s="252">
        <v>0</v>
      </c>
      <c r="G13" s="249"/>
      <c r="H13" s="241"/>
      <c r="I13" s="241"/>
    </row>
    <row r="14" spans="1:9" ht="12.75" customHeight="1" x14ac:dyDescent="0.3">
      <c r="A14" s="244"/>
      <c r="B14" s="249" t="s">
        <v>105</v>
      </c>
      <c r="C14" s="249"/>
      <c r="D14" s="249"/>
      <c r="E14" s="253"/>
      <c r="F14" s="252">
        <v>0</v>
      </c>
      <c r="G14" s="249"/>
      <c r="H14" s="241"/>
      <c r="I14" s="241"/>
    </row>
    <row r="15" spans="1:9" ht="10.5" customHeight="1" x14ac:dyDescent="0.3">
      <c r="A15" s="244"/>
      <c r="B15" s="249"/>
      <c r="C15" s="253"/>
      <c r="D15" s="254" t="s">
        <v>11</v>
      </c>
      <c r="E15" s="249"/>
      <c r="F15" s="249"/>
      <c r="G15" s="249"/>
      <c r="H15" s="241"/>
      <c r="I15" s="241"/>
    </row>
    <row r="16" spans="1:9" ht="12.75" customHeight="1" x14ac:dyDescent="0.3">
      <c r="A16" s="244" t="s">
        <v>35</v>
      </c>
      <c r="B16" s="249"/>
      <c r="C16" s="253"/>
      <c r="D16" s="254" t="s">
        <v>11</v>
      </c>
      <c r="E16" s="249"/>
      <c r="F16" s="249"/>
      <c r="G16" s="249"/>
      <c r="H16" s="241"/>
      <c r="I16" s="241"/>
    </row>
    <row r="17" spans="1:11" ht="9.75" customHeight="1" x14ac:dyDescent="0.3">
      <c r="A17" s="244"/>
      <c r="B17" s="249"/>
      <c r="C17" s="249"/>
      <c r="D17" s="249"/>
      <c r="E17" s="249"/>
      <c r="F17" s="249"/>
      <c r="G17" s="249"/>
      <c r="H17" s="241"/>
      <c r="I17" s="241"/>
    </row>
    <row r="18" spans="1:11" ht="12.75" customHeight="1" x14ac:dyDescent="0.3">
      <c r="A18" s="249" t="s">
        <v>106</v>
      </c>
      <c r="B18" s="249"/>
      <c r="C18" s="249"/>
      <c r="D18" s="249"/>
      <c r="E18" s="249"/>
      <c r="F18" s="256">
        <f>F8-F13-F14</f>
        <v>0</v>
      </c>
      <c r="G18" s="249"/>
      <c r="H18" s="241"/>
      <c r="I18" s="241"/>
    </row>
    <row r="19" spans="1:11" ht="12.75" customHeight="1" thickBot="1" x14ac:dyDescent="0.35">
      <c r="A19" s="255" t="s">
        <v>107</v>
      </c>
      <c r="B19" s="255"/>
      <c r="C19" s="249"/>
      <c r="D19" s="249"/>
      <c r="E19" s="255"/>
      <c r="F19" s="257">
        <f>F9+F14</f>
        <v>0</v>
      </c>
      <c r="G19" s="249"/>
      <c r="H19" s="241"/>
      <c r="I19" s="241"/>
    </row>
    <row r="20" spans="1:11" ht="12.75" customHeight="1" x14ac:dyDescent="0.3">
      <c r="A20" s="249" t="s">
        <v>108</v>
      </c>
      <c r="B20" s="249"/>
      <c r="C20" s="249"/>
      <c r="D20" s="249"/>
      <c r="E20" s="249"/>
      <c r="F20" s="258">
        <f>F18+F19</f>
        <v>0</v>
      </c>
      <c r="G20" s="249"/>
      <c r="H20" s="241"/>
      <c r="I20" s="241"/>
    </row>
    <row r="21" spans="1:11" ht="11.25" customHeight="1" x14ac:dyDescent="0.3">
      <c r="A21" s="249"/>
      <c r="B21" s="249"/>
      <c r="C21" s="249"/>
      <c r="D21" s="249"/>
      <c r="E21" s="249"/>
      <c r="F21" s="249"/>
      <c r="G21" s="249"/>
      <c r="H21" s="241"/>
      <c r="I21" s="241"/>
    </row>
    <row r="22" spans="1:11" ht="15.6" x14ac:dyDescent="0.3">
      <c r="A22" s="244" t="s">
        <v>145</v>
      </c>
      <c r="B22" s="249"/>
      <c r="C22" s="249"/>
      <c r="D22" s="249"/>
      <c r="E22" s="249"/>
      <c r="F22" s="249"/>
      <c r="G22" s="249"/>
      <c r="H22" s="241"/>
      <c r="I22" s="241"/>
      <c r="K22" s="259"/>
    </row>
    <row r="23" spans="1:11" ht="9.75" customHeight="1" x14ac:dyDescent="0.3">
      <c r="A23" s="249"/>
      <c r="B23" s="249"/>
      <c r="C23" s="249"/>
      <c r="D23" s="249"/>
      <c r="E23" s="254"/>
      <c r="F23" s="249"/>
      <c r="G23" s="249"/>
      <c r="H23" s="241"/>
      <c r="I23" s="241"/>
    </row>
    <row r="24" spans="1:11" ht="13.5" customHeight="1" x14ac:dyDescent="0.3">
      <c r="A24" s="249" t="s">
        <v>81</v>
      </c>
      <c r="B24" s="249"/>
      <c r="C24" s="249"/>
      <c r="D24" s="237">
        <v>12</v>
      </c>
      <c r="E24" s="177">
        <f>ROUND(D24*parameters!$C$3/12,2)</f>
        <v>2837</v>
      </c>
      <c r="F24" s="249"/>
      <c r="G24" s="249"/>
      <c r="H24" s="241"/>
      <c r="I24" s="241"/>
    </row>
    <row r="25" spans="1:11" ht="12.75" customHeight="1" x14ac:dyDescent="0.3">
      <c r="A25" s="249" t="s">
        <v>82</v>
      </c>
      <c r="B25" s="249"/>
      <c r="C25" s="249"/>
      <c r="D25" s="255"/>
      <c r="E25" s="254"/>
      <c r="F25" s="249"/>
      <c r="G25" s="249"/>
      <c r="H25" s="241"/>
      <c r="I25" s="241"/>
    </row>
    <row r="26" spans="1:11" ht="12.75" customHeight="1" x14ac:dyDescent="0.3">
      <c r="A26" s="244">
        <v>1</v>
      </c>
      <c r="B26" s="249" t="s">
        <v>3</v>
      </c>
      <c r="C26" s="249"/>
      <c r="D26" s="260">
        <v>0</v>
      </c>
      <c r="E26" s="177">
        <f>IF(D27=0,0,IF(D26=0,0,ROUND((D26/D27)*parameters!$F$3,2)))</f>
        <v>0</v>
      </c>
      <c r="F26" s="249"/>
      <c r="G26" s="249"/>
      <c r="H26" s="241"/>
      <c r="I26" s="241"/>
    </row>
    <row r="27" spans="1:11" ht="13.5" customHeight="1" x14ac:dyDescent="0.3">
      <c r="A27" s="249"/>
      <c r="B27" s="249" t="s">
        <v>4</v>
      </c>
      <c r="C27" s="249"/>
      <c r="D27" s="261">
        <v>0</v>
      </c>
      <c r="E27" s="254"/>
      <c r="F27" s="249"/>
      <c r="G27" s="249"/>
      <c r="H27" s="241"/>
      <c r="I27" s="241"/>
    </row>
    <row r="28" spans="1:11" ht="12.75" customHeight="1" x14ac:dyDescent="0.3">
      <c r="A28" s="244">
        <v>2</v>
      </c>
      <c r="B28" s="249" t="s">
        <v>3</v>
      </c>
      <c r="C28" s="249"/>
      <c r="D28" s="260">
        <v>0</v>
      </c>
      <c r="E28" s="177">
        <f>IF(D29=0,0,IF(D28=0,0,ROUND((D28/D29)*parameters!$F$3,2)))</f>
        <v>0</v>
      </c>
      <c r="F28" s="249"/>
      <c r="G28" s="249"/>
      <c r="H28" s="241"/>
      <c r="I28" s="241"/>
    </row>
    <row r="29" spans="1:11" ht="13.5" customHeight="1" x14ac:dyDescent="0.3">
      <c r="A29" s="249"/>
      <c r="B29" s="249" t="s">
        <v>4</v>
      </c>
      <c r="C29" s="249"/>
      <c r="D29" s="238">
        <v>0</v>
      </c>
      <c r="E29" s="254"/>
      <c r="F29" s="249"/>
      <c r="G29" s="249"/>
      <c r="H29" s="241"/>
      <c r="I29" s="241"/>
    </row>
    <row r="30" spans="1:11" ht="9.75" customHeight="1" x14ac:dyDescent="0.3">
      <c r="A30" s="249"/>
      <c r="B30" s="249"/>
      <c r="C30" s="249"/>
      <c r="D30" s="249"/>
      <c r="E30" s="249"/>
      <c r="F30" s="249"/>
      <c r="G30" s="249"/>
      <c r="H30" s="241"/>
      <c r="I30" s="241"/>
    </row>
    <row r="31" spans="1:11" ht="12.75" customHeight="1" x14ac:dyDescent="0.3">
      <c r="A31" s="249" t="s">
        <v>109</v>
      </c>
      <c r="B31" s="249"/>
      <c r="C31" s="249"/>
      <c r="D31" s="249"/>
      <c r="E31" s="249"/>
      <c r="F31" s="178">
        <f>IF((E24+E26+E28)&lt;=parameters!$C$3,(E24+E26+E28),parameters!$C$3)</f>
        <v>2837</v>
      </c>
      <c r="G31" s="244" t="s">
        <v>5</v>
      </c>
      <c r="H31" s="241"/>
      <c r="I31" s="241"/>
    </row>
    <row r="32" spans="1:11" ht="11.25" customHeight="1" x14ac:dyDescent="0.3">
      <c r="A32" s="249"/>
      <c r="B32" s="249"/>
      <c r="C32" s="249"/>
      <c r="D32" s="249"/>
      <c r="E32" s="249"/>
      <c r="F32" s="249"/>
      <c r="G32" s="249"/>
      <c r="H32" s="241"/>
      <c r="I32" s="241"/>
    </row>
    <row r="33" spans="1:11" ht="15.6" x14ac:dyDescent="0.3">
      <c r="A33" s="244" t="s">
        <v>146</v>
      </c>
      <c r="B33" s="249"/>
      <c r="C33" s="249"/>
      <c r="D33" s="249"/>
      <c r="E33" s="249"/>
      <c r="F33" s="249"/>
      <c r="G33" s="249"/>
      <c r="H33" s="241"/>
      <c r="I33" s="241"/>
    </row>
    <row r="34" spans="1:11" ht="9.75" customHeight="1" x14ac:dyDescent="0.3">
      <c r="A34" s="249"/>
      <c r="B34" s="249"/>
      <c r="C34" s="249"/>
      <c r="D34" s="249"/>
      <c r="E34" s="249"/>
      <c r="F34" s="249"/>
      <c r="G34" s="249"/>
      <c r="H34" s="241"/>
      <c r="I34" s="241"/>
    </row>
    <row r="35" spans="1:11" ht="12.75" customHeight="1" x14ac:dyDescent="0.3">
      <c r="A35" s="249" t="s">
        <v>85</v>
      </c>
      <c r="B35" s="249"/>
      <c r="C35" s="249"/>
      <c r="D35" s="249"/>
      <c r="E35" s="249"/>
      <c r="F35" s="249"/>
      <c r="G35" s="249"/>
      <c r="H35" s="241"/>
      <c r="I35" s="241"/>
    </row>
    <row r="36" spans="1:11" ht="16.2" thickBot="1" x14ac:dyDescent="0.35">
      <c r="A36" s="249" t="s">
        <v>76</v>
      </c>
      <c r="B36" s="249"/>
      <c r="C36" s="249"/>
      <c r="D36" s="249"/>
      <c r="E36" s="249"/>
      <c r="F36" s="283"/>
      <c r="G36" s="244" t="s">
        <v>6</v>
      </c>
      <c r="H36" s="241"/>
      <c r="I36" s="241"/>
    </row>
    <row r="37" spans="1:11" ht="11.25" customHeight="1" thickTop="1" x14ac:dyDescent="0.3">
      <c r="A37" s="249"/>
      <c r="B37" s="249"/>
      <c r="C37" s="249"/>
      <c r="D37" s="249"/>
      <c r="E37" s="249"/>
      <c r="F37" s="249"/>
      <c r="G37" s="249"/>
      <c r="H37" s="241"/>
      <c r="I37" s="241"/>
    </row>
    <row r="38" spans="1:11" ht="12.75" customHeight="1" x14ac:dyDescent="0.3">
      <c r="A38" s="244" t="s">
        <v>86</v>
      </c>
      <c r="B38" s="249"/>
      <c r="C38" s="249"/>
      <c r="D38" s="249"/>
      <c r="E38" s="249"/>
      <c r="F38" s="262">
        <f>IF(F31-F36&lt;=0,0,F31-F36)</f>
        <v>2837</v>
      </c>
      <c r="G38" s="244" t="s">
        <v>7</v>
      </c>
      <c r="H38" s="241"/>
      <c r="I38" s="263"/>
    </row>
    <row r="39" spans="1:11" ht="12.75" customHeight="1" x14ac:dyDescent="0.3">
      <c r="A39" s="249" t="s">
        <v>8</v>
      </c>
      <c r="B39" s="249"/>
      <c r="C39" s="249"/>
      <c r="D39" s="249"/>
      <c r="E39" s="249"/>
      <c r="F39" s="180">
        <f>IF(F31-F36&lt;=0,0,IF(F31-F36&gt;=F20*parameters!$C$6,F20*parameters!$C$6,F31-F36))</f>
        <v>0</v>
      </c>
      <c r="G39" s="249" t="s">
        <v>9</v>
      </c>
      <c r="H39" s="241"/>
      <c r="I39" s="264"/>
    </row>
    <row r="40" spans="1:11" ht="9.75" customHeight="1" x14ac:dyDescent="0.3">
      <c r="A40" s="249"/>
      <c r="B40" s="249"/>
      <c r="C40" s="249"/>
      <c r="D40" s="249"/>
      <c r="E40" s="249"/>
      <c r="F40" s="265"/>
      <c r="G40" s="249"/>
      <c r="H40" s="241"/>
      <c r="I40" s="264"/>
    </row>
    <row r="41" spans="1:11" ht="12.75" customHeight="1" x14ac:dyDescent="0.3">
      <c r="A41" s="244" t="s">
        <v>87</v>
      </c>
      <c r="B41" s="249"/>
      <c r="C41" s="249"/>
      <c r="D41" s="249"/>
      <c r="E41" s="249"/>
      <c r="F41" s="249"/>
      <c r="G41" s="249"/>
      <c r="H41" s="241"/>
      <c r="I41" s="241"/>
    </row>
    <row r="42" spans="1:11" ht="7.5" customHeight="1" x14ac:dyDescent="0.3">
      <c r="A42" s="249"/>
      <c r="B42" s="249"/>
      <c r="C42" s="249"/>
      <c r="D42" s="249"/>
      <c r="E42" s="249"/>
      <c r="F42" s="249"/>
      <c r="G42" s="249"/>
      <c r="H42" s="241"/>
      <c r="I42" s="241"/>
    </row>
    <row r="43" spans="1:11" ht="12.75" customHeight="1" x14ac:dyDescent="0.3">
      <c r="A43" s="249" t="s">
        <v>88</v>
      </c>
      <c r="B43" s="249"/>
      <c r="C43" s="249"/>
      <c r="D43" s="249"/>
      <c r="E43" s="249"/>
      <c r="F43" s="254">
        <f>F20</f>
        <v>0</v>
      </c>
      <c r="G43" s="249"/>
      <c r="H43" s="241"/>
      <c r="I43" s="241"/>
    </row>
    <row r="44" spans="1:11" ht="14.25" customHeight="1" thickBot="1" x14ac:dyDescent="0.35">
      <c r="A44" s="249" t="s">
        <v>89</v>
      </c>
      <c r="B44" s="249"/>
      <c r="C44" s="249"/>
      <c r="D44" s="249"/>
      <c r="E44" s="249"/>
      <c r="F44" s="266">
        <f>F38</f>
        <v>2837</v>
      </c>
      <c r="G44" s="244" t="s">
        <v>7</v>
      </c>
      <c r="H44" s="241"/>
      <c r="I44" s="241"/>
    </row>
    <row r="45" spans="1:11" ht="14.25" customHeight="1" thickTop="1" x14ac:dyDescent="0.3">
      <c r="A45" s="249" t="s">
        <v>90</v>
      </c>
      <c r="B45" s="249"/>
      <c r="C45" s="249"/>
      <c r="D45" s="249"/>
      <c r="E45" s="249"/>
      <c r="F45" s="254">
        <f>IF(F43-F44&lt;=0,0,F43-F44)</f>
        <v>0</v>
      </c>
      <c r="G45" s="249"/>
      <c r="H45" s="241"/>
      <c r="I45" s="241"/>
    </row>
    <row r="46" spans="1:11" ht="9.75" customHeight="1" x14ac:dyDescent="0.3">
      <c r="A46" s="249"/>
      <c r="B46" s="249"/>
      <c r="C46" s="249"/>
      <c r="D46" s="249"/>
      <c r="E46" s="249"/>
      <c r="F46" s="249"/>
      <c r="G46" s="249"/>
      <c r="H46" s="241"/>
      <c r="I46" s="241"/>
    </row>
    <row r="47" spans="1:11" ht="12.75" customHeight="1" x14ac:dyDescent="0.3">
      <c r="A47" s="249" t="s">
        <v>91</v>
      </c>
      <c r="B47" s="249"/>
      <c r="C47" s="249"/>
      <c r="D47" s="254">
        <f>F45</f>
        <v>0</v>
      </c>
      <c r="E47" s="170" t="str">
        <f>parameters!$F$12</f>
        <v>x 58,98% (E)</v>
      </c>
      <c r="F47" s="175">
        <f>F45*parameters!$C$12</f>
        <v>0</v>
      </c>
      <c r="G47" s="249"/>
      <c r="H47" s="241"/>
      <c r="I47" s="241"/>
      <c r="K47" s="133" t="s">
        <v>11</v>
      </c>
    </row>
    <row r="48" spans="1:11" ht="16.2" thickBot="1" x14ac:dyDescent="0.35">
      <c r="A48" s="249" t="s">
        <v>92</v>
      </c>
      <c r="B48" s="249"/>
      <c r="C48" s="249"/>
      <c r="D48" s="249"/>
      <c r="E48" s="249"/>
      <c r="F48" s="266">
        <f>F44</f>
        <v>2837</v>
      </c>
      <c r="G48" s="249"/>
      <c r="H48" s="241"/>
      <c r="I48" s="241"/>
    </row>
    <row r="49" spans="1:9" ht="16.2" thickTop="1" x14ac:dyDescent="0.3">
      <c r="A49" s="267" t="s">
        <v>38</v>
      </c>
      <c r="B49" s="249"/>
      <c r="C49" s="249"/>
      <c r="D49" s="249"/>
      <c r="E49" s="249"/>
      <c r="F49" s="265">
        <f>IF(F47-F48&lt;=0,0,F47-F48)</f>
        <v>0</v>
      </c>
      <c r="G49" s="249"/>
      <c r="H49" s="241"/>
      <c r="I49" s="241"/>
    </row>
    <row r="50" spans="1:9" ht="15.6" x14ac:dyDescent="0.3">
      <c r="A50" s="267"/>
      <c r="B50" s="249"/>
      <c r="C50" s="249"/>
      <c r="D50" s="249"/>
      <c r="E50" s="249"/>
      <c r="F50" s="265"/>
      <c r="G50" s="249"/>
      <c r="H50" s="241"/>
      <c r="I50" s="241"/>
    </row>
    <row r="51" spans="1:9" ht="15.6" x14ac:dyDescent="0.3">
      <c r="A51" s="267"/>
      <c r="B51" s="241" t="s">
        <v>147</v>
      </c>
      <c r="C51" s="249"/>
      <c r="D51" s="249"/>
      <c r="E51" s="249"/>
      <c r="F51" s="265"/>
      <c r="G51" s="249"/>
      <c r="H51" s="241"/>
      <c r="I51" s="241"/>
    </row>
    <row r="52" spans="1:9" ht="15.6" x14ac:dyDescent="0.3">
      <c r="A52" s="267"/>
      <c r="B52" s="249"/>
      <c r="C52" s="249"/>
      <c r="D52" s="249"/>
      <c r="E52" s="249"/>
      <c r="F52" s="265"/>
      <c r="G52" s="249"/>
      <c r="H52" s="241"/>
      <c r="I52" s="241"/>
    </row>
    <row r="53" spans="1:9" ht="13.5" customHeight="1" x14ac:dyDescent="0.3">
      <c r="A53" s="249"/>
      <c r="B53" s="249"/>
      <c r="C53" s="249"/>
      <c r="D53" s="249"/>
      <c r="E53" s="249"/>
      <c r="F53" s="249"/>
      <c r="G53" s="249"/>
      <c r="H53" s="241"/>
      <c r="I53" s="241"/>
    </row>
    <row r="54" spans="1:9" ht="13.5" customHeight="1" x14ac:dyDescent="0.3">
      <c r="A54" s="249"/>
      <c r="B54" s="249"/>
      <c r="C54" s="249"/>
      <c r="D54" s="249"/>
      <c r="E54" s="249"/>
      <c r="F54" s="249"/>
      <c r="G54" s="249"/>
      <c r="H54" s="241"/>
      <c r="I54" s="241"/>
    </row>
    <row r="55" spans="1:9" ht="13.5" customHeight="1" x14ac:dyDescent="0.3">
      <c r="A55" s="249"/>
      <c r="B55" s="249"/>
      <c r="C55" s="249"/>
      <c r="D55" s="249"/>
      <c r="E55" s="249"/>
      <c r="F55" s="249"/>
      <c r="G55" s="249"/>
      <c r="H55" s="241"/>
      <c r="I55" s="241"/>
    </row>
    <row r="56" spans="1:9" ht="13.5" customHeight="1" x14ac:dyDescent="0.3">
      <c r="A56" s="249"/>
      <c r="B56" s="249"/>
      <c r="C56" s="249"/>
      <c r="D56" s="249"/>
      <c r="E56" s="249"/>
      <c r="F56" s="249"/>
      <c r="G56" s="249"/>
      <c r="H56" s="241"/>
      <c r="I56" s="241"/>
    </row>
    <row r="57" spans="1:9" ht="13.5" customHeight="1" x14ac:dyDescent="0.3">
      <c r="A57" s="249"/>
      <c r="B57" s="249"/>
      <c r="C57" s="249"/>
      <c r="D57" s="249"/>
      <c r="E57" s="249"/>
      <c r="F57" s="249"/>
      <c r="G57" s="249"/>
      <c r="H57" s="241"/>
      <c r="I57" s="241"/>
    </row>
    <row r="58" spans="1:9" ht="13.5" customHeight="1" x14ac:dyDescent="0.3">
      <c r="A58" s="249"/>
      <c r="B58" s="249"/>
      <c r="C58" s="249"/>
      <c r="D58" s="249"/>
      <c r="E58" s="268"/>
      <c r="F58" s="249"/>
      <c r="G58" s="249"/>
      <c r="H58" s="241"/>
      <c r="I58" s="241"/>
    </row>
    <row r="59" spans="1:9" ht="8.25" customHeight="1" x14ac:dyDescent="0.3">
      <c r="A59" s="249"/>
      <c r="B59" s="249"/>
      <c r="C59" s="249"/>
      <c r="D59" s="249"/>
      <c r="E59" s="268"/>
      <c r="F59" s="249"/>
      <c r="G59" s="249"/>
      <c r="H59" s="241"/>
      <c r="I59" s="241"/>
    </row>
    <row r="60" spans="1:9" ht="12.75" customHeight="1" x14ac:dyDescent="0.3">
      <c r="A60" s="244" t="s">
        <v>110</v>
      </c>
      <c r="B60" s="249"/>
      <c r="C60" s="249"/>
      <c r="D60" s="249"/>
      <c r="E60" s="249"/>
      <c r="F60" s="249"/>
      <c r="G60" s="249"/>
      <c r="H60" s="241"/>
      <c r="I60" s="241"/>
    </row>
    <row r="61" spans="1:9" ht="9.75" customHeight="1" x14ac:dyDescent="0.3">
      <c r="A61" s="249"/>
      <c r="B61" s="249"/>
      <c r="C61" s="249"/>
      <c r="D61" s="249"/>
      <c r="E61" s="249"/>
      <c r="F61" s="249"/>
      <c r="G61" s="249"/>
      <c r="H61" s="241"/>
      <c r="I61" s="241"/>
    </row>
    <row r="62" spans="1:9" ht="12.75" customHeight="1" x14ac:dyDescent="0.3">
      <c r="A62" s="249" t="s">
        <v>88</v>
      </c>
      <c r="B62" s="249"/>
      <c r="C62" s="249"/>
      <c r="D62" s="249"/>
      <c r="E62" s="254">
        <f>F18</f>
        <v>0</v>
      </c>
      <c r="F62" s="249"/>
      <c r="G62" s="249"/>
      <c r="H62" s="241"/>
      <c r="I62" s="269"/>
    </row>
    <row r="63" spans="1:9" ht="12.75" customHeight="1" x14ac:dyDescent="0.3">
      <c r="A63" s="249" t="s">
        <v>99</v>
      </c>
      <c r="B63" s="249"/>
      <c r="C63" s="249"/>
      <c r="D63" s="249"/>
      <c r="E63" s="254">
        <f>F19</f>
        <v>0</v>
      </c>
      <c r="F63" s="249"/>
      <c r="G63" s="249"/>
      <c r="H63" s="241"/>
      <c r="I63" s="241"/>
    </row>
    <row r="64" spans="1:9" ht="14.25" customHeight="1" thickBot="1" x14ac:dyDescent="0.35">
      <c r="A64" s="249" t="s">
        <v>100</v>
      </c>
      <c r="B64" s="249"/>
      <c r="C64" s="249"/>
      <c r="D64" s="249"/>
      <c r="E64" s="266">
        <f>IF(F49&lt;0.1,0,F49)</f>
        <v>0</v>
      </c>
      <c r="F64" s="249"/>
      <c r="G64" s="249"/>
      <c r="H64" s="241"/>
      <c r="I64" s="241"/>
    </row>
    <row r="65" spans="1:9" ht="16.2" thickTop="1" x14ac:dyDescent="0.3">
      <c r="A65" s="249" t="s">
        <v>101</v>
      </c>
      <c r="B65" s="249"/>
      <c r="C65" s="249"/>
      <c r="D65" s="249"/>
      <c r="E65" s="254">
        <f>SUM(E62:E64)</f>
        <v>0</v>
      </c>
      <c r="F65" s="249"/>
      <c r="G65" s="249"/>
      <c r="H65" s="241"/>
      <c r="I65" s="241"/>
    </row>
    <row r="66" spans="1:9" ht="12.75" customHeight="1" x14ac:dyDescent="0.3">
      <c r="A66" s="249"/>
      <c r="B66" s="249"/>
      <c r="C66" s="249"/>
      <c r="D66" s="249"/>
      <c r="E66" s="249"/>
      <c r="F66" s="249"/>
      <c r="G66" s="249"/>
      <c r="H66" s="241"/>
      <c r="I66" s="241"/>
    </row>
    <row r="67" spans="1:9" ht="12.75" customHeight="1" x14ac:dyDescent="0.3">
      <c r="A67" s="249"/>
      <c r="B67" s="249"/>
      <c r="C67" s="249"/>
      <c r="D67" s="249"/>
      <c r="E67" s="249"/>
      <c r="F67" s="249"/>
      <c r="G67" s="249"/>
      <c r="H67" s="241"/>
      <c r="I67" s="241"/>
    </row>
    <row r="68" spans="1:9" ht="30" customHeight="1" x14ac:dyDescent="0.3">
      <c r="A68" s="249"/>
      <c r="B68" s="249"/>
      <c r="C68" s="249"/>
      <c r="D68" s="249"/>
      <c r="E68" s="249"/>
      <c r="F68" s="249"/>
      <c r="G68" s="249"/>
      <c r="H68" s="241"/>
      <c r="I68" s="241"/>
    </row>
    <row r="69" spans="1:9" ht="15.6" x14ac:dyDescent="0.3">
      <c r="A69" s="315" t="s">
        <v>36</v>
      </c>
      <c r="B69" s="315"/>
      <c r="C69" s="315"/>
      <c r="D69" s="315"/>
      <c r="E69" s="316"/>
      <c r="F69" s="270"/>
      <c r="G69" s="271"/>
      <c r="H69" s="241"/>
      <c r="I69" s="241"/>
    </row>
    <row r="70" spans="1:9" ht="10.5" customHeight="1" x14ac:dyDescent="0.3">
      <c r="A70" s="317"/>
      <c r="B70" s="317"/>
      <c r="C70" s="317"/>
      <c r="D70" s="317"/>
      <c r="E70" s="318"/>
      <c r="F70" s="249"/>
      <c r="G70" s="249"/>
      <c r="H70" s="241"/>
      <c r="I70" s="241"/>
    </row>
    <row r="71" spans="1:9" ht="12.75" customHeight="1" x14ac:dyDescent="0.3">
      <c r="A71" s="317"/>
      <c r="B71" s="317" t="s">
        <v>37</v>
      </c>
      <c r="C71" s="317"/>
      <c r="D71" s="318">
        <f>F8-F18</f>
        <v>0</v>
      </c>
      <c r="E71" s="318"/>
      <c r="F71" s="265"/>
      <c r="G71" s="249"/>
      <c r="H71" s="241"/>
      <c r="I71" s="241"/>
    </row>
    <row r="72" spans="1:9" ht="12" customHeight="1" x14ac:dyDescent="0.3">
      <c r="A72" s="317"/>
      <c r="B72" s="317"/>
      <c r="C72" s="317"/>
      <c r="D72" s="317"/>
      <c r="E72" s="318"/>
      <c r="F72" s="249"/>
      <c r="G72" s="249"/>
      <c r="H72" s="241"/>
      <c r="I72" s="269"/>
    </row>
    <row r="73" spans="1:9" ht="12.75" customHeight="1" x14ac:dyDescent="0.3">
      <c r="A73" s="317"/>
      <c r="B73" s="337" t="s">
        <v>38</v>
      </c>
      <c r="C73" s="337"/>
      <c r="D73" s="338">
        <f>F11-E64</f>
        <v>0</v>
      </c>
      <c r="E73" s="339"/>
      <c r="F73" s="265"/>
      <c r="G73" s="249"/>
    </row>
    <row r="74" spans="1:9" ht="15" customHeight="1" x14ac:dyDescent="0.3">
      <c r="A74" s="317"/>
      <c r="B74" s="317" t="s">
        <v>39</v>
      </c>
      <c r="C74" s="317"/>
      <c r="D74" s="318">
        <f>SUM(D71:D73)</f>
        <v>0</v>
      </c>
      <c r="E74" s="318"/>
      <c r="F74" s="265"/>
      <c r="G74" s="249"/>
      <c r="I74" s="259"/>
    </row>
    <row r="75" spans="1:9" ht="15.6" x14ac:dyDescent="0.3">
      <c r="F75" s="249"/>
      <c r="G75" s="249"/>
    </row>
    <row r="76" spans="1:9" ht="15.6" x14ac:dyDescent="0.3">
      <c r="A76" s="249"/>
      <c r="B76" s="249"/>
      <c r="C76" s="249"/>
      <c r="D76" s="249"/>
      <c r="E76" s="249"/>
      <c r="F76" s="249"/>
      <c r="G76" s="249"/>
    </row>
    <row r="77" spans="1:9" ht="15.6" x14ac:dyDescent="0.3">
      <c r="A77" s="249"/>
      <c r="B77" s="249"/>
      <c r="C77" s="249"/>
      <c r="D77" s="249"/>
      <c r="E77" s="249"/>
      <c r="F77" s="249"/>
      <c r="G77" s="249"/>
    </row>
    <row r="78" spans="1:9" ht="15.6" x14ac:dyDescent="0.3">
      <c r="A78" s="249"/>
      <c r="B78" s="249"/>
      <c r="C78" s="249"/>
      <c r="D78" s="249"/>
      <c r="E78" s="249"/>
      <c r="F78" s="249"/>
      <c r="G78" s="249"/>
    </row>
    <row r="79" spans="1:9" ht="15.6" x14ac:dyDescent="0.3">
      <c r="A79" s="249"/>
      <c r="B79" s="272" t="s">
        <v>10</v>
      </c>
      <c r="C79" s="273"/>
      <c r="D79" s="273"/>
      <c r="E79" s="273"/>
      <c r="F79" s="274"/>
      <c r="G79" s="249"/>
    </row>
    <row r="80" spans="1:9" ht="15.6" x14ac:dyDescent="0.3">
      <c r="A80" s="249"/>
      <c r="B80" s="275"/>
      <c r="C80" s="276"/>
      <c r="D80" s="276"/>
      <c r="E80" s="276"/>
      <c r="F80" s="277"/>
      <c r="G80" s="249"/>
    </row>
    <row r="81" spans="1:7" ht="15.6" x14ac:dyDescent="0.3">
      <c r="A81" s="249"/>
      <c r="B81" s="275"/>
      <c r="C81" s="276"/>
      <c r="D81" s="276"/>
      <c r="E81" s="276"/>
      <c r="F81" s="277"/>
      <c r="G81" s="249"/>
    </row>
    <row r="82" spans="1:7" ht="15.6" x14ac:dyDescent="0.3">
      <c r="A82" s="249"/>
      <c r="B82" s="275"/>
      <c r="C82" s="276"/>
      <c r="D82" s="276"/>
      <c r="E82" s="276"/>
      <c r="F82" s="277"/>
      <c r="G82" s="249"/>
    </row>
    <row r="83" spans="1:7" ht="15.6" x14ac:dyDescent="0.3">
      <c r="A83" s="249"/>
      <c r="B83" s="275"/>
      <c r="C83" s="276"/>
      <c r="D83" s="276"/>
      <c r="E83" s="276"/>
      <c r="F83" s="277"/>
      <c r="G83" s="249"/>
    </row>
    <row r="84" spans="1:7" ht="15.6" x14ac:dyDescent="0.3">
      <c r="A84" s="249"/>
      <c r="B84" s="275"/>
      <c r="C84" s="276"/>
      <c r="D84" s="276"/>
      <c r="E84" s="276"/>
      <c r="F84" s="277"/>
      <c r="G84" s="249"/>
    </row>
    <row r="85" spans="1:7" ht="15.6" x14ac:dyDescent="0.3">
      <c r="A85" s="249"/>
      <c r="B85" s="275"/>
      <c r="C85" s="276"/>
      <c r="D85" s="276"/>
      <c r="E85" s="276"/>
      <c r="F85" s="277"/>
      <c r="G85" s="249"/>
    </row>
    <row r="86" spans="1:7" ht="15.6" x14ac:dyDescent="0.3">
      <c r="A86" s="249"/>
      <c r="B86" s="275"/>
      <c r="C86" s="276"/>
      <c r="D86" s="276"/>
      <c r="E86" s="276"/>
      <c r="F86" s="277"/>
      <c r="G86" s="249"/>
    </row>
    <row r="87" spans="1:7" ht="15.6" x14ac:dyDescent="0.3">
      <c r="A87" s="249"/>
      <c r="B87" s="275"/>
      <c r="C87" s="276"/>
      <c r="D87" s="276"/>
      <c r="E87" s="276"/>
      <c r="F87" s="277"/>
      <c r="G87" s="249"/>
    </row>
    <row r="88" spans="1:7" ht="15.6" x14ac:dyDescent="0.3">
      <c r="A88" s="249"/>
      <c r="B88" s="275"/>
      <c r="C88" s="276"/>
      <c r="D88" s="276"/>
      <c r="E88" s="276"/>
      <c r="F88" s="277"/>
      <c r="G88" s="249"/>
    </row>
    <row r="89" spans="1:7" ht="15.6" x14ac:dyDescent="0.3">
      <c r="A89" s="249"/>
      <c r="B89" s="275"/>
      <c r="C89" s="276"/>
      <c r="D89" s="276"/>
      <c r="E89" s="276"/>
      <c r="F89" s="277"/>
      <c r="G89" s="249"/>
    </row>
    <row r="90" spans="1:7" ht="15.6" x14ac:dyDescent="0.3">
      <c r="A90" s="249"/>
      <c r="B90" s="275"/>
      <c r="C90" s="276"/>
      <c r="D90" s="276"/>
      <c r="E90" s="276"/>
      <c r="F90" s="277"/>
      <c r="G90" s="249"/>
    </row>
    <row r="91" spans="1:7" ht="15.6" x14ac:dyDescent="0.3">
      <c r="A91" s="249"/>
      <c r="B91" s="275"/>
      <c r="C91" s="276"/>
      <c r="D91" s="276"/>
      <c r="E91" s="276"/>
      <c r="F91" s="277"/>
      <c r="G91" s="249"/>
    </row>
    <row r="92" spans="1:7" ht="15.6" x14ac:dyDescent="0.3">
      <c r="A92" s="249"/>
      <c r="B92" s="275"/>
      <c r="C92" s="276"/>
      <c r="D92" s="276"/>
      <c r="E92" s="276"/>
      <c r="F92" s="277"/>
      <c r="G92" s="249"/>
    </row>
    <row r="93" spans="1:7" ht="15.6" x14ac:dyDescent="0.3">
      <c r="A93" s="249"/>
      <c r="B93" s="275"/>
      <c r="C93" s="276"/>
      <c r="D93" s="276"/>
      <c r="E93" s="276"/>
      <c r="F93" s="277"/>
      <c r="G93" s="249"/>
    </row>
    <row r="94" spans="1:7" ht="15.6" x14ac:dyDescent="0.3">
      <c r="A94" s="249"/>
      <c r="B94" s="278"/>
      <c r="C94" s="279"/>
      <c r="D94" s="279"/>
      <c r="E94" s="279"/>
      <c r="F94" s="280"/>
      <c r="G94" s="249"/>
    </row>
    <row r="95" spans="1:7" ht="15.6" x14ac:dyDescent="0.3">
      <c r="A95" s="249"/>
      <c r="B95" s="276"/>
      <c r="C95" s="276"/>
      <c r="D95" s="276"/>
      <c r="E95" s="276"/>
      <c r="F95" s="276"/>
      <c r="G95" s="249"/>
    </row>
    <row r="96" spans="1:7" ht="15.6" x14ac:dyDescent="0.3">
      <c r="A96" s="249"/>
      <c r="B96" s="281" t="s">
        <v>147</v>
      </c>
      <c r="C96" s="276"/>
      <c r="D96" s="276"/>
      <c r="E96" s="276"/>
      <c r="F96" s="276"/>
      <c r="G96" s="249"/>
    </row>
    <row r="97" spans="1:7" x14ac:dyDescent="0.3">
      <c r="A97" s="243"/>
      <c r="B97" s="282"/>
      <c r="C97" s="282"/>
      <c r="D97" s="282"/>
      <c r="E97" s="282"/>
      <c r="F97" s="282"/>
      <c r="G97" s="243"/>
    </row>
    <row r="98" spans="1:7" x14ac:dyDescent="0.3">
      <c r="A98" s="243"/>
      <c r="B98" s="282"/>
      <c r="C98" s="282"/>
      <c r="D98" s="282"/>
      <c r="E98" s="282"/>
      <c r="F98" s="282"/>
      <c r="G98" s="243"/>
    </row>
    <row r="99" spans="1:7" x14ac:dyDescent="0.3">
      <c r="A99" s="243"/>
      <c r="B99" s="282"/>
      <c r="C99" s="282"/>
      <c r="D99" s="282"/>
      <c r="E99" s="282"/>
      <c r="F99" s="282"/>
      <c r="G99" s="243"/>
    </row>
    <row r="100" spans="1:7" x14ac:dyDescent="0.3">
      <c r="A100" s="243"/>
      <c r="B100" s="282"/>
      <c r="C100" s="282"/>
      <c r="D100" s="282"/>
      <c r="E100" s="282"/>
      <c r="F100" s="282"/>
      <c r="G100" s="243"/>
    </row>
    <row r="101" spans="1:7" x14ac:dyDescent="0.3">
      <c r="A101" s="243"/>
      <c r="B101" s="282"/>
      <c r="C101" s="282"/>
      <c r="D101" s="282"/>
      <c r="E101" s="282"/>
      <c r="F101" s="282"/>
      <c r="G101" s="243"/>
    </row>
    <row r="102" spans="1:7" x14ac:dyDescent="0.3">
      <c r="A102" s="243"/>
      <c r="B102" s="282"/>
      <c r="C102" s="282"/>
      <c r="D102" s="282"/>
      <c r="E102" s="282"/>
      <c r="F102" s="282"/>
      <c r="G102" s="243"/>
    </row>
    <row r="103" spans="1:7" x14ac:dyDescent="0.3">
      <c r="A103" s="243"/>
      <c r="B103" s="282"/>
      <c r="C103" s="282"/>
      <c r="D103" s="282"/>
      <c r="E103" s="282"/>
      <c r="F103" s="282"/>
      <c r="G103" s="243"/>
    </row>
    <row r="104" spans="1:7" x14ac:dyDescent="0.3">
      <c r="A104" s="243"/>
      <c r="B104" s="282"/>
      <c r="C104" s="282"/>
      <c r="D104" s="282"/>
      <c r="E104" s="282"/>
      <c r="F104" s="282"/>
      <c r="G104" s="243"/>
    </row>
    <row r="105" spans="1:7" x14ac:dyDescent="0.3">
      <c r="A105" s="243"/>
      <c r="B105" s="282"/>
      <c r="C105" s="282"/>
      <c r="D105" s="282"/>
      <c r="E105" s="282"/>
      <c r="F105" s="282"/>
      <c r="G105" s="243"/>
    </row>
    <row r="106" spans="1:7" x14ac:dyDescent="0.3">
      <c r="A106" s="243"/>
      <c r="B106" s="282"/>
      <c r="C106" s="282"/>
      <c r="D106" s="282"/>
      <c r="E106" s="282"/>
      <c r="F106" s="282"/>
      <c r="G106" s="243"/>
    </row>
    <row r="107" spans="1:7" x14ac:dyDescent="0.3">
      <c r="A107" s="243"/>
      <c r="B107" s="282"/>
      <c r="C107" s="282"/>
      <c r="D107" s="282"/>
      <c r="E107" s="282"/>
      <c r="F107" s="282"/>
      <c r="G107" s="243"/>
    </row>
    <row r="108" spans="1:7" x14ac:dyDescent="0.3">
      <c r="A108" s="243"/>
      <c r="B108" s="243"/>
      <c r="C108" s="243"/>
      <c r="D108" s="243"/>
      <c r="E108" s="243"/>
      <c r="F108" s="243"/>
      <c r="G108" s="243"/>
    </row>
  </sheetData>
  <sheetProtection algorithmName="SHA-512" hashValue="IcI0aHt4URJjbhi6dHO02sUEvK8ym1GXNU03y1bgcduP/fc8ie17xQKNJms1I2wN+rQI/mZwDGRX8dm1Epijcw==" saltValue="vzmRhN0Ed1n+1BSpmSdMJQ==" spinCount="100000" sheet="1" objects="1" scenarios="1"/>
  <mergeCells count="2">
    <mergeCell ref="C4:E4"/>
    <mergeCell ref="C5:E5"/>
  </mergeCells>
  <pageMargins left="0.75" right="0.75" top="0.84" bottom="0.85" header="0.5" footer="0.5"/>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20784-4E3A-4390-869D-FDE2FF177C46}">
  <sheetPr>
    <tabColor rgb="FFFF0000"/>
  </sheetPr>
  <dimension ref="A1:K54"/>
  <sheetViews>
    <sheetView tabSelected="1" zoomScale="85" zoomScaleNormal="85" workbookViewId="0">
      <selection activeCell="K26" sqref="K26"/>
    </sheetView>
  </sheetViews>
  <sheetFormatPr defaultRowHeight="14.4" x14ac:dyDescent="0.3"/>
  <cols>
    <col min="1" max="1" width="25.33203125" customWidth="1"/>
    <col min="2" max="2" width="11.88671875" customWidth="1"/>
    <col min="3" max="3" width="6.33203125" customWidth="1"/>
    <col min="4" max="4" width="11.88671875" customWidth="1"/>
    <col min="5" max="5" width="3" customWidth="1"/>
    <col min="6" max="6" width="5.6640625" customWidth="1"/>
    <col min="7" max="7" width="11" customWidth="1"/>
    <col min="8" max="8" width="10.6640625" customWidth="1"/>
    <col min="9" max="9" width="11" customWidth="1"/>
  </cols>
  <sheetData>
    <row r="1" spans="1:8" ht="22.8" x14ac:dyDescent="0.4">
      <c r="A1" s="134" t="str">
        <f>"Bepaling elders gebruikte Ahk "&amp;JAAR!F15</f>
        <v>Bepaling elders gebruikte Ahk 2021</v>
      </c>
      <c r="B1" s="135"/>
      <c r="C1" s="135"/>
      <c r="D1" s="135"/>
      <c r="E1" s="135"/>
      <c r="F1" s="135"/>
      <c r="G1" s="135"/>
      <c r="H1" s="135"/>
    </row>
    <row r="2" spans="1:8" s="2" customFormat="1" ht="13.2" x14ac:dyDescent="0.25">
      <c r="A2" s="340"/>
      <c r="B2" s="341"/>
      <c r="C2" s="341"/>
      <c r="D2" s="341"/>
      <c r="E2" s="341"/>
      <c r="F2" s="341"/>
      <c r="G2" s="341"/>
      <c r="H2" s="341"/>
    </row>
    <row r="3" spans="1:8" s="2" customFormat="1" ht="20.25" customHeight="1" x14ac:dyDescent="0.25">
      <c r="A3" s="342" t="s">
        <v>47</v>
      </c>
      <c r="B3" s="343">
        <f>JAAR!D6</f>
        <v>0</v>
      </c>
      <c r="C3" s="343"/>
      <c r="D3" s="343"/>
      <c r="E3" s="343"/>
      <c r="F3" s="344"/>
      <c r="G3" s="341"/>
      <c r="H3" s="341"/>
    </row>
    <row r="4" spans="1:8" s="2" customFormat="1" ht="20.25" customHeight="1" x14ac:dyDescent="0.25">
      <c r="A4" s="345" t="s">
        <v>12</v>
      </c>
      <c r="B4" s="346">
        <f>JAAR!D8</f>
        <v>0</v>
      </c>
      <c r="C4" s="346"/>
      <c r="D4" s="346"/>
      <c r="E4" s="346"/>
      <c r="F4" s="347"/>
      <c r="G4" s="341"/>
      <c r="H4" s="341"/>
    </row>
    <row r="5" spans="1:8" x14ac:dyDescent="0.3">
      <c r="A5" s="341"/>
      <c r="B5" s="341"/>
      <c r="C5" s="341"/>
      <c r="D5" s="341"/>
      <c r="E5" s="341"/>
      <c r="F5" s="341"/>
      <c r="G5" s="341"/>
      <c r="H5" s="341"/>
    </row>
    <row r="6" spans="1:8" x14ac:dyDescent="0.3">
      <c r="A6" s="341"/>
      <c r="B6" s="341"/>
      <c r="C6" s="341"/>
      <c r="D6" s="341"/>
      <c r="E6" s="348"/>
      <c r="F6" s="341"/>
      <c r="G6" s="341"/>
      <c r="H6" s="341"/>
    </row>
    <row r="7" spans="1:8" x14ac:dyDescent="0.3">
      <c r="A7" s="341" t="s">
        <v>13</v>
      </c>
      <c r="B7" s="341"/>
      <c r="C7" s="341"/>
      <c r="D7" s="341"/>
      <c r="E7" s="341"/>
      <c r="F7" s="341"/>
      <c r="G7" s="341"/>
      <c r="H7" s="341"/>
    </row>
    <row r="8" spans="1:8" x14ac:dyDescent="0.3">
      <c r="A8" s="341" t="s">
        <v>14</v>
      </c>
      <c r="B8" s="341"/>
      <c r="C8" s="341"/>
      <c r="D8" s="341"/>
      <c r="E8" s="341"/>
      <c r="F8" s="349"/>
      <c r="G8" s="341"/>
      <c r="H8" s="341"/>
    </row>
    <row r="9" spans="1:8" x14ac:dyDescent="0.3">
      <c r="A9" s="341" t="s">
        <v>15</v>
      </c>
      <c r="B9" s="341"/>
      <c r="C9" s="341"/>
      <c r="D9" s="341"/>
      <c r="E9" s="350"/>
      <c r="F9" s="341"/>
      <c r="G9" s="341"/>
      <c r="H9" s="341"/>
    </row>
    <row r="10" spans="1:8" x14ac:dyDescent="0.3">
      <c r="A10" s="341" t="s">
        <v>127</v>
      </c>
      <c r="B10" s="341"/>
      <c r="C10" s="341"/>
      <c r="D10" s="341"/>
      <c r="E10" s="350"/>
      <c r="F10" s="341"/>
      <c r="G10" s="341"/>
      <c r="H10" s="341"/>
    </row>
    <row r="11" spans="1:8" x14ac:dyDescent="0.3">
      <c r="A11" s="341" t="s">
        <v>128</v>
      </c>
      <c r="B11" s="341"/>
      <c r="C11" s="341"/>
      <c r="D11" s="341"/>
      <c r="E11" s="350"/>
      <c r="F11" s="341"/>
      <c r="G11" s="341"/>
      <c r="H11" s="341"/>
    </row>
    <row r="12" spans="1:8" x14ac:dyDescent="0.3">
      <c r="A12" s="341" t="s">
        <v>129</v>
      </c>
      <c r="B12" s="341"/>
      <c r="C12" s="341"/>
      <c r="D12" s="341"/>
      <c r="E12" s="341"/>
      <c r="F12" s="341"/>
      <c r="G12" s="341"/>
      <c r="H12" s="341"/>
    </row>
    <row r="13" spans="1:8" x14ac:dyDescent="0.3">
      <c r="A13" s="341" t="s">
        <v>130</v>
      </c>
      <c r="B13" s="341"/>
      <c r="C13" s="341"/>
      <c r="D13" s="341"/>
      <c r="E13" s="341"/>
      <c r="F13" s="341"/>
      <c r="G13" s="341"/>
      <c r="H13" s="341"/>
    </row>
    <row r="14" spans="1:8" x14ac:dyDescent="0.3">
      <c r="A14" s="341"/>
      <c r="B14" s="341"/>
      <c r="C14" s="341"/>
      <c r="D14" s="341"/>
      <c r="E14" s="341"/>
      <c r="F14" s="341"/>
      <c r="G14" s="341"/>
      <c r="H14" s="341"/>
    </row>
    <row r="15" spans="1:8" x14ac:dyDescent="0.3">
      <c r="A15" s="351" t="s">
        <v>149</v>
      </c>
      <c r="B15" s="351"/>
      <c r="C15" s="351"/>
      <c r="D15" s="351"/>
      <c r="E15" s="351"/>
      <c r="F15" s="351"/>
      <c r="G15" s="351"/>
      <c r="H15" s="351"/>
    </row>
    <row r="16" spans="1:8" x14ac:dyDescent="0.3">
      <c r="A16" s="352" t="s">
        <v>135</v>
      </c>
      <c r="B16" s="352"/>
      <c r="C16" s="352"/>
      <c r="D16" s="352"/>
      <c r="E16" s="352"/>
      <c r="F16" s="352"/>
      <c r="G16" s="352"/>
      <c r="H16" s="352"/>
    </row>
    <row r="17" spans="1:11" x14ac:dyDescent="0.3">
      <c r="A17" s="341"/>
      <c r="B17" s="353"/>
      <c r="C17" s="341"/>
      <c r="D17" s="353"/>
      <c r="E17" s="341"/>
      <c r="F17" s="341"/>
      <c r="G17" s="341"/>
      <c r="H17" s="341"/>
    </row>
    <row r="18" spans="1:11" x14ac:dyDescent="0.3">
      <c r="A18" s="354" t="s">
        <v>16</v>
      </c>
      <c r="B18" s="366" t="s">
        <v>17</v>
      </c>
      <c r="C18" s="356" t="s">
        <v>18</v>
      </c>
      <c r="D18" s="355" t="s">
        <v>19</v>
      </c>
      <c r="E18" s="356" t="s">
        <v>18</v>
      </c>
      <c r="F18" s="357"/>
      <c r="G18" s="358" t="s">
        <v>62</v>
      </c>
      <c r="H18" s="341"/>
    </row>
    <row r="19" spans="1:11" x14ac:dyDescent="0.3">
      <c r="A19" s="341" t="s">
        <v>20</v>
      </c>
      <c r="B19" s="367">
        <v>0</v>
      </c>
      <c r="C19" s="359">
        <f>FLOOR(B19,4.5)</f>
        <v>0</v>
      </c>
      <c r="D19" s="360">
        <v>0</v>
      </c>
      <c r="E19" s="359">
        <f>FLOOR(D19,4.5)</f>
        <v>0</v>
      </c>
      <c r="F19" s="357"/>
      <c r="G19" s="361">
        <f>Berekeningen!E64</f>
        <v>0</v>
      </c>
      <c r="H19" s="341"/>
    </row>
    <row r="20" spans="1:11" x14ac:dyDescent="0.3">
      <c r="A20" s="341" t="s">
        <v>21</v>
      </c>
      <c r="B20" s="367">
        <v>0</v>
      </c>
      <c r="C20" s="362">
        <f t="shared" ref="C20:C30" si="0">FLOOR(B20,4.5)</f>
        <v>0</v>
      </c>
      <c r="D20" s="360">
        <v>0</v>
      </c>
      <c r="E20" s="359">
        <f t="shared" ref="E20:E30" si="1">FLOOR(D20,4.5)</f>
        <v>0</v>
      </c>
      <c r="F20" s="357"/>
      <c r="G20" s="361">
        <f>Berekeningen!E65</f>
        <v>0</v>
      </c>
      <c r="H20" s="341"/>
    </row>
    <row r="21" spans="1:11" x14ac:dyDescent="0.3">
      <c r="A21" s="341" t="s">
        <v>22</v>
      </c>
      <c r="B21" s="367">
        <v>0</v>
      </c>
      <c r="C21" s="362">
        <f t="shared" si="0"/>
        <v>0</v>
      </c>
      <c r="D21" s="360">
        <v>0</v>
      </c>
      <c r="E21" s="359">
        <f t="shared" si="1"/>
        <v>0</v>
      </c>
      <c r="F21" s="357"/>
      <c r="G21" s="361">
        <f>Berekeningen!E66</f>
        <v>0</v>
      </c>
      <c r="H21" s="341"/>
      <c r="K21" s="5"/>
    </row>
    <row r="22" spans="1:11" x14ac:dyDescent="0.3">
      <c r="A22" s="341" t="s">
        <v>23</v>
      </c>
      <c r="B22" s="367">
        <v>0</v>
      </c>
      <c r="C22" s="362">
        <f>FLOOR(B22,4.5)</f>
        <v>0</v>
      </c>
      <c r="D22" s="360">
        <v>0</v>
      </c>
      <c r="E22" s="359">
        <f t="shared" si="1"/>
        <v>0</v>
      </c>
      <c r="F22" s="357"/>
      <c r="G22" s="361">
        <f>Berekeningen!E67</f>
        <v>0</v>
      </c>
      <c r="H22" s="341"/>
    </row>
    <row r="23" spans="1:11" x14ac:dyDescent="0.3">
      <c r="A23" s="341" t="s">
        <v>24</v>
      </c>
      <c r="B23" s="367">
        <v>0</v>
      </c>
      <c r="C23" s="362">
        <f>FLOOR(B23,4.5)</f>
        <v>0</v>
      </c>
      <c r="D23" s="360">
        <v>0</v>
      </c>
      <c r="E23" s="359">
        <f t="shared" si="1"/>
        <v>0</v>
      </c>
      <c r="F23" s="357"/>
      <c r="G23" s="361">
        <f>Berekeningen!E68</f>
        <v>0</v>
      </c>
      <c r="H23" s="341"/>
      <c r="K23" s="5"/>
    </row>
    <row r="24" spans="1:11" x14ac:dyDescent="0.3">
      <c r="A24" s="341" t="s">
        <v>25</v>
      </c>
      <c r="B24" s="367">
        <v>0</v>
      </c>
      <c r="C24" s="362">
        <f t="shared" si="0"/>
        <v>0</v>
      </c>
      <c r="D24" s="360">
        <v>0</v>
      </c>
      <c r="E24" s="359">
        <f t="shared" si="1"/>
        <v>0</v>
      </c>
      <c r="F24" s="357"/>
      <c r="G24" s="361">
        <f>Berekeningen!E69</f>
        <v>0</v>
      </c>
      <c r="H24" s="341"/>
    </row>
    <row r="25" spans="1:11" x14ac:dyDescent="0.3">
      <c r="A25" s="341" t="s">
        <v>26</v>
      </c>
      <c r="B25" s="367">
        <v>0</v>
      </c>
      <c r="C25" s="362">
        <f t="shared" si="0"/>
        <v>0</v>
      </c>
      <c r="D25" s="360">
        <v>0</v>
      </c>
      <c r="E25" s="359">
        <f t="shared" si="1"/>
        <v>0</v>
      </c>
      <c r="F25" s="357"/>
      <c r="G25" s="361">
        <f>Berekeningen!E70</f>
        <v>0</v>
      </c>
      <c r="H25" s="341"/>
    </row>
    <row r="26" spans="1:11" x14ac:dyDescent="0.3">
      <c r="A26" s="341" t="s">
        <v>27</v>
      </c>
      <c r="B26" s="367">
        <v>0</v>
      </c>
      <c r="C26" s="362">
        <f t="shared" si="0"/>
        <v>0</v>
      </c>
      <c r="D26" s="360">
        <v>0</v>
      </c>
      <c r="E26" s="359">
        <f t="shared" si="1"/>
        <v>0</v>
      </c>
      <c r="F26" s="357"/>
      <c r="G26" s="361">
        <f>Berekeningen!E71</f>
        <v>0</v>
      </c>
      <c r="H26" s="341"/>
    </row>
    <row r="27" spans="1:11" x14ac:dyDescent="0.3">
      <c r="A27" s="341" t="s">
        <v>28</v>
      </c>
      <c r="B27" s="367">
        <v>0</v>
      </c>
      <c r="C27" s="362">
        <f t="shared" si="0"/>
        <v>0</v>
      </c>
      <c r="D27" s="360">
        <v>0</v>
      </c>
      <c r="E27" s="359">
        <f t="shared" si="1"/>
        <v>0</v>
      </c>
      <c r="F27" s="357"/>
      <c r="G27" s="361">
        <f>Berekeningen!E72</f>
        <v>0</v>
      </c>
      <c r="H27" s="341"/>
    </row>
    <row r="28" spans="1:11" x14ac:dyDescent="0.3">
      <c r="A28" s="341" t="s">
        <v>29</v>
      </c>
      <c r="B28" s="367">
        <v>0</v>
      </c>
      <c r="C28" s="362">
        <f t="shared" si="0"/>
        <v>0</v>
      </c>
      <c r="D28" s="360">
        <v>0</v>
      </c>
      <c r="E28" s="359">
        <f t="shared" si="1"/>
        <v>0</v>
      </c>
      <c r="F28" s="357"/>
      <c r="G28" s="361">
        <f>Berekeningen!E73</f>
        <v>0</v>
      </c>
      <c r="H28" s="341"/>
    </row>
    <row r="29" spans="1:11" x14ac:dyDescent="0.3">
      <c r="A29" s="341" t="s">
        <v>30</v>
      </c>
      <c r="B29" s="367">
        <v>0</v>
      </c>
      <c r="C29" s="362">
        <f t="shared" si="0"/>
        <v>0</v>
      </c>
      <c r="D29" s="360">
        <v>0</v>
      </c>
      <c r="E29" s="359">
        <f t="shared" si="1"/>
        <v>0</v>
      </c>
      <c r="F29" s="357"/>
      <c r="G29" s="361">
        <f>Berekeningen!E74</f>
        <v>0</v>
      </c>
      <c r="H29" s="341"/>
    </row>
    <row r="30" spans="1:11" x14ac:dyDescent="0.3">
      <c r="A30" s="341" t="s">
        <v>31</v>
      </c>
      <c r="B30" s="367">
        <v>0</v>
      </c>
      <c r="C30" s="362">
        <f t="shared" si="0"/>
        <v>0</v>
      </c>
      <c r="D30" s="360">
        <v>0</v>
      </c>
      <c r="E30" s="359">
        <f t="shared" si="1"/>
        <v>0</v>
      </c>
      <c r="F30" s="357"/>
      <c r="G30" s="361">
        <f>Berekeningen!E75</f>
        <v>0</v>
      </c>
      <c r="H30" s="341"/>
    </row>
    <row r="31" spans="1:11" x14ac:dyDescent="0.3">
      <c r="A31" s="341"/>
      <c r="B31" s="363"/>
      <c r="C31" s="364"/>
      <c r="D31" s="363"/>
      <c r="E31" s="341"/>
      <c r="F31" s="349"/>
      <c r="G31" s="341"/>
      <c r="H31" s="341"/>
    </row>
    <row r="32" spans="1:11" x14ac:dyDescent="0.3">
      <c r="A32" s="341"/>
      <c r="B32" s="341"/>
      <c r="C32" s="341"/>
      <c r="D32" s="341"/>
      <c r="E32" s="341"/>
      <c r="F32" s="341"/>
      <c r="G32" s="341"/>
      <c r="H32" s="341"/>
    </row>
    <row r="33" spans="1:9" x14ac:dyDescent="0.3">
      <c r="A33" s="341" t="s">
        <v>32</v>
      </c>
      <c r="B33" s="341"/>
      <c r="C33" s="341"/>
      <c r="D33" s="341"/>
      <c r="E33" s="341"/>
      <c r="F33" s="365" t="s">
        <v>6</v>
      </c>
      <c r="G33" s="361">
        <f>SUM(G19:G31)</f>
        <v>0</v>
      </c>
      <c r="H33" s="341"/>
    </row>
    <row r="34" spans="1:9" x14ac:dyDescent="0.3">
      <c r="A34" s="341"/>
      <c r="B34" s="341"/>
      <c r="C34" s="341"/>
      <c r="D34" s="341"/>
      <c r="E34" s="341"/>
      <c r="F34" s="341"/>
      <c r="G34" s="341"/>
      <c r="H34" s="341"/>
    </row>
    <row r="35" spans="1:9" x14ac:dyDescent="0.3">
      <c r="A35" s="15"/>
      <c r="B35" s="15"/>
      <c r="C35" s="15"/>
      <c r="D35" s="15"/>
      <c r="E35" s="15"/>
      <c r="F35" s="15"/>
      <c r="G35" s="15"/>
      <c r="H35" s="11"/>
      <c r="I35" s="11"/>
    </row>
    <row r="36" spans="1:9" s="19" customFormat="1" ht="17.25" customHeight="1" x14ac:dyDescent="0.3">
      <c r="A36" s="21"/>
      <c r="B36" s="21"/>
      <c r="C36" s="21"/>
      <c r="D36" s="21"/>
      <c r="E36" s="21"/>
      <c r="F36" s="21"/>
      <c r="G36" s="21"/>
    </row>
    <row r="37" spans="1:9" s="19" customFormat="1" ht="17.25" customHeight="1" x14ac:dyDescent="0.3">
      <c r="A37" s="21"/>
      <c r="B37" s="21"/>
      <c r="C37" s="22"/>
      <c r="D37" s="22"/>
      <c r="E37" s="21"/>
      <c r="F37" s="21"/>
      <c r="G37" s="23"/>
    </row>
    <row r="38" spans="1:9" s="19" customFormat="1" ht="17.25" customHeight="1" x14ac:dyDescent="0.3">
      <c r="A38" s="21"/>
      <c r="B38" s="21"/>
      <c r="C38" s="22"/>
      <c r="D38" s="22"/>
      <c r="E38" s="21"/>
      <c r="F38" s="21"/>
      <c r="G38" s="23"/>
    </row>
    <row r="39" spans="1:9" s="19" customFormat="1" ht="17.25" customHeight="1" x14ac:dyDescent="0.3">
      <c r="A39" s="21"/>
      <c r="B39" s="21"/>
      <c r="C39" s="22"/>
      <c r="D39" s="22"/>
      <c r="E39" s="21"/>
      <c r="F39" s="21"/>
      <c r="G39" s="23"/>
    </row>
    <row r="40" spans="1:9" s="19" customFormat="1" ht="17.25" customHeight="1" x14ac:dyDescent="0.3">
      <c r="A40" s="21"/>
      <c r="B40" s="21"/>
      <c r="C40" s="22"/>
      <c r="D40" s="22"/>
      <c r="E40" s="21"/>
      <c r="F40" s="21"/>
      <c r="G40" s="23"/>
    </row>
    <row r="41" spans="1:9" s="19" customFormat="1" ht="17.25" customHeight="1" x14ac:dyDescent="0.3">
      <c r="A41" s="21"/>
      <c r="B41" s="21"/>
      <c r="C41" s="22"/>
      <c r="D41" s="22"/>
      <c r="E41" s="21"/>
      <c r="F41" s="21"/>
      <c r="G41" s="23"/>
    </row>
    <row r="42" spans="1:9" s="19" customFormat="1" ht="17.25" customHeight="1" x14ac:dyDescent="0.3">
      <c r="A42" s="21"/>
      <c r="B42" s="21"/>
      <c r="C42" s="22"/>
      <c r="D42" s="22"/>
      <c r="E42" s="21"/>
      <c r="F42" s="21"/>
      <c r="G42" s="23"/>
      <c r="I42" s="24"/>
    </row>
    <row r="43" spans="1:9" s="19" customFormat="1" ht="17.25" customHeight="1" x14ac:dyDescent="0.3">
      <c r="A43" s="21"/>
      <c r="B43" s="21"/>
      <c r="C43" s="22"/>
      <c r="D43" s="22"/>
      <c r="E43" s="21"/>
      <c r="F43" s="21"/>
      <c r="G43" s="23"/>
    </row>
    <row r="44" spans="1:9" s="19" customFormat="1" ht="17.25" customHeight="1" x14ac:dyDescent="0.3">
      <c r="A44" s="21"/>
      <c r="B44" s="21"/>
      <c r="C44" s="22"/>
      <c r="D44" s="22"/>
      <c r="E44" s="21"/>
      <c r="F44" s="21"/>
      <c r="G44" s="23"/>
    </row>
    <row r="45" spans="1:9" s="19" customFormat="1" ht="17.25" customHeight="1" x14ac:dyDescent="0.3">
      <c r="A45" s="21"/>
      <c r="B45" s="21"/>
      <c r="C45" s="22"/>
      <c r="D45" s="22"/>
      <c r="E45" s="21"/>
      <c r="F45" s="21"/>
      <c r="G45" s="23"/>
    </row>
    <row r="46" spans="1:9" s="19" customFormat="1" ht="17.25" customHeight="1" x14ac:dyDescent="0.3">
      <c r="A46" s="21"/>
      <c r="B46" s="21"/>
      <c r="C46" s="22"/>
      <c r="D46" s="22"/>
      <c r="E46" s="21"/>
      <c r="F46" s="21"/>
      <c r="G46" s="23"/>
    </row>
    <row r="47" spans="1:9" s="19" customFormat="1" ht="17.25" customHeight="1" x14ac:dyDescent="0.3">
      <c r="A47" s="21"/>
      <c r="B47" s="21"/>
      <c r="C47" s="22"/>
      <c r="D47" s="22"/>
      <c r="E47" s="21"/>
      <c r="F47" s="21"/>
      <c r="G47" s="23"/>
    </row>
    <row r="48" spans="1:9" s="19" customFormat="1" ht="17.25" customHeight="1" x14ac:dyDescent="0.3">
      <c r="A48" s="21"/>
      <c r="B48" s="21"/>
      <c r="C48" s="22"/>
      <c r="D48" s="22"/>
      <c r="E48" s="21"/>
      <c r="F48" s="21"/>
      <c r="G48" s="23"/>
    </row>
    <row r="49" spans="1:9" s="19" customFormat="1" ht="17.25" customHeight="1" x14ac:dyDescent="0.3">
      <c r="A49" s="21"/>
      <c r="B49" s="21"/>
      <c r="C49" s="21"/>
      <c r="D49" s="21"/>
      <c r="E49" s="21"/>
      <c r="F49" s="21"/>
      <c r="G49" s="21"/>
    </row>
    <row r="50" spans="1:9" s="19" customFormat="1" ht="17.25" customHeight="1" x14ac:dyDescent="0.3">
      <c r="A50" s="25"/>
      <c r="B50" s="25"/>
      <c r="C50" s="25"/>
      <c r="D50" s="25"/>
      <c r="E50" s="25"/>
      <c r="F50" s="25"/>
      <c r="G50" s="25"/>
    </row>
    <row r="51" spans="1:9" ht="17.25" customHeight="1" x14ac:dyDescent="0.3">
      <c r="A51" s="7"/>
      <c r="B51" s="6"/>
      <c r="C51" s="6"/>
      <c r="D51" s="6"/>
      <c r="E51" s="6"/>
      <c r="F51" s="6"/>
      <c r="G51" s="6"/>
      <c r="H51" s="7"/>
      <c r="I51" s="7"/>
    </row>
    <row r="52" spans="1:9" ht="17.25" customHeight="1" x14ac:dyDescent="0.3">
      <c r="A52" s="7"/>
      <c r="B52" s="6"/>
      <c r="C52" s="7"/>
      <c r="D52" s="7"/>
      <c r="E52" s="7"/>
      <c r="F52" s="7"/>
      <c r="G52" s="7"/>
      <c r="H52" s="7"/>
      <c r="I52" s="7"/>
    </row>
    <row r="53" spans="1:9" ht="17.25" customHeight="1" x14ac:dyDescent="0.3">
      <c r="A53" s="6"/>
      <c r="B53" s="6"/>
      <c r="C53" s="7"/>
      <c r="D53" s="7"/>
      <c r="E53" s="7"/>
      <c r="F53" s="7"/>
      <c r="G53" s="7"/>
      <c r="H53" s="7"/>
      <c r="I53" s="7"/>
    </row>
    <row r="54" spans="1:9" ht="17.25" customHeight="1" x14ac:dyDescent="0.3">
      <c r="A54" s="7"/>
      <c r="B54" s="7"/>
      <c r="C54" s="7"/>
      <c r="D54" s="7"/>
      <c r="E54" s="7"/>
      <c r="F54" s="7"/>
      <c r="G54" s="7"/>
      <c r="H54" s="7"/>
      <c r="I54" s="7"/>
    </row>
  </sheetData>
  <sheetProtection algorithmName="SHA-512" hashValue="6erwBnQRVx82ckgPU6ceqLY7ttrMF1uCyF3JRFZjh445RWKg+0GUVpe9PMgb2x+DoHnRfqrZ+zWVgMqfz/UFIw==" saltValue="stadRhaG5dxZ5EEMO7bZ+w==" spinCount="100000" sheet="1" objects="1" scenarios="1"/>
  <mergeCells count="2">
    <mergeCell ref="B3:F3"/>
    <mergeCell ref="B4:F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1A4CB-C9E3-45B8-872A-50D48052649E}">
  <sheetPr>
    <tabColor rgb="FF00B050"/>
  </sheetPr>
  <dimension ref="A2:G35"/>
  <sheetViews>
    <sheetView showGridLines="0" workbookViewId="0">
      <selection activeCell="L16" sqref="L16"/>
    </sheetView>
  </sheetViews>
  <sheetFormatPr defaultColWidth="9.109375" defaultRowHeight="14.4" x14ac:dyDescent="0.3"/>
  <cols>
    <col min="1" max="1" width="9.109375" style="3"/>
    <col min="2" max="2" width="10.44140625" style="96" bestFit="1" customWidth="1"/>
    <col min="3" max="3" width="10.88671875" style="97" bestFit="1" customWidth="1"/>
    <col min="4" max="4" width="10.88671875" style="98" customWidth="1"/>
    <col min="5" max="5" width="11" style="97" bestFit="1" customWidth="1"/>
    <col min="6" max="6" width="10.6640625" style="97" bestFit="1" customWidth="1"/>
    <col min="7" max="7" width="14.33203125" style="96" customWidth="1"/>
    <col min="8" max="16384" width="9.109375" style="3"/>
  </cols>
  <sheetData>
    <row r="2" spans="1:7" ht="15.75" customHeight="1" thickBot="1" x14ac:dyDescent="0.4">
      <c r="A2" s="284" t="s">
        <v>124</v>
      </c>
      <c r="B2" s="285"/>
      <c r="C2" s="286"/>
      <c r="D2" s="287"/>
      <c r="E2" s="286"/>
    </row>
    <row r="3" spans="1:7" s="99" customFormat="1" ht="52.5" customHeight="1" thickBot="1" x14ac:dyDescent="0.35">
      <c r="A3" s="288" t="s">
        <v>61</v>
      </c>
      <c r="B3" s="289" t="s">
        <v>62</v>
      </c>
      <c r="C3" s="290" t="s">
        <v>63</v>
      </c>
      <c r="D3" s="291" t="s">
        <v>73</v>
      </c>
      <c r="E3" s="292" t="s">
        <v>65</v>
      </c>
      <c r="F3" s="292" t="s">
        <v>64</v>
      </c>
      <c r="G3" s="293" t="s">
        <v>125</v>
      </c>
    </row>
    <row r="4" spans="1:7" x14ac:dyDescent="0.3">
      <c r="A4" s="299">
        <v>2011</v>
      </c>
      <c r="B4" s="300">
        <v>1987</v>
      </c>
      <c r="C4" s="301">
        <v>0.33</v>
      </c>
      <c r="D4" s="302">
        <v>0.31459999999999999</v>
      </c>
      <c r="E4" s="301">
        <v>0.55179999999999996</v>
      </c>
      <c r="F4" s="301">
        <v>7.7499999999999999E-2</v>
      </c>
      <c r="G4" s="303">
        <v>50400</v>
      </c>
    </row>
    <row r="5" spans="1:7" ht="15" thickBot="1" x14ac:dyDescent="0.35">
      <c r="A5" s="294">
        <v>2012</v>
      </c>
      <c r="B5" s="295">
        <v>2033</v>
      </c>
      <c r="C5" s="296">
        <v>0.33100000000000002</v>
      </c>
      <c r="D5" s="297">
        <v>0.31228</v>
      </c>
      <c r="E5" s="296">
        <v>0.54920000000000002</v>
      </c>
      <c r="F5" s="296">
        <v>7.0999999999999994E-2</v>
      </c>
      <c r="G5" s="298">
        <v>50500</v>
      </c>
    </row>
    <row r="6" spans="1:7" x14ac:dyDescent="0.3">
      <c r="A6" s="299">
        <v>2013</v>
      </c>
      <c r="B6" s="300">
        <v>2001</v>
      </c>
      <c r="C6" s="301">
        <v>0.37</v>
      </c>
      <c r="D6" s="302">
        <v>0.35026000000000002</v>
      </c>
      <c r="E6" s="301">
        <v>0.58730000000000004</v>
      </c>
      <c r="F6" s="301">
        <v>7.7499999999999999E-2</v>
      </c>
      <c r="G6" s="303">
        <v>50853</v>
      </c>
    </row>
    <row r="7" spans="1:7" ht="15" thickBot="1" x14ac:dyDescent="0.35">
      <c r="A7" s="294">
        <v>2014</v>
      </c>
      <c r="B7" s="295">
        <v>2103</v>
      </c>
      <c r="C7" s="296">
        <v>0.36249999999999999</v>
      </c>
      <c r="D7" s="297">
        <v>0.34298000000000001</v>
      </c>
      <c r="E7" s="296">
        <v>0.56859999999999999</v>
      </c>
      <c r="F7" s="296">
        <v>7.4999999999999997E-2</v>
      </c>
      <c r="G7" s="298">
        <v>51414</v>
      </c>
    </row>
    <row r="8" spans="1:7" x14ac:dyDescent="0.3">
      <c r="A8" s="299">
        <v>2015</v>
      </c>
      <c r="B8" s="300">
        <v>2203</v>
      </c>
      <c r="C8" s="301">
        <v>0.36499999999999999</v>
      </c>
      <c r="D8" s="302">
        <v>0.34544999999999998</v>
      </c>
      <c r="E8" s="301">
        <v>0.57479999999999998</v>
      </c>
      <c r="F8" s="301">
        <v>6.9500000000000006E-2</v>
      </c>
      <c r="G8" s="303">
        <v>51976</v>
      </c>
    </row>
    <row r="9" spans="1:7" ht="15" thickBot="1" x14ac:dyDescent="0.35">
      <c r="A9" s="294">
        <v>2016</v>
      </c>
      <c r="B9" s="295">
        <v>2242</v>
      </c>
      <c r="C9" s="296">
        <v>0.36549999999999999</v>
      </c>
      <c r="D9" s="297">
        <v>0.34756999999999999</v>
      </c>
      <c r="E9" s="296">
        <v>0.57599999999999996</v>
      </c>
      <c r="F9" s="296">
        <v>6.7500000000000004E-2</v>
      </c>
      <c r="G9" s="298">
        <v>52763</v>
      </c>
    </row>
    <row r="10" spans="1:7" x14ac:dyDescent="0.3">
      <c r="A10" s="299">
        <v>2017</v>
      </c>
      <c r="B10" s="300">
        <v>2254</v>
      </c>
      <c r="C10" s="301">
        <v>0.36549999999999999</v>
      </c>
      <c r="D10" s="302">
        <v>0.34777999999999998</v>
      </c>
      <c r="E10" s="301">
        <v>0.57599999999999996</v>
      </c>
      <c r="F10" s="301">
        <v>6.6500000000000004E-2</v>
      </c>
      <c r="G10" s="303">
        <v>53701</v>
      </c>
    </row>
    <row r="11" spans="1:7" ht="15" thickBot="1" x14ac:dyDescent="0.35">
      <c r="A11" s="294">
        <v>2018</v>
      </c>
      <c r="B11" s="295">
        <v>2265</v>
      </c>
      <c r="C11" s="296">
        <v>0.36549999999999999</v>
      </c>
      <c r="D11" s="297">
        <v>0.34786</v>
      </c>
      <c r="E11" s="296">
        <v>0.57599999999999996</v>
      </c>
      <c r="F11" s="296">
        <v>6.9000000000000006E-2</v>
      </c>
      <c r="G11" s="298">
        <v>54614</v>
      </c>
    </row>
    <row r="12" spans="1:7" x14ac:dyDescent="0.3">
      <c r="A12" s="299">
        <v>2019</v>
      </c>
      <c r="B12" s="300">
        <v>2477</v>
      </c>
      <c r="C12" s="301">
        <v>0.36649999999999999</v>
      </c>
      <c r="D12" s="302">
        <v>0.34895999999999999</v>
      </c>
      <c r="E12" s="301">
        <v>0.57850000000000001</v>
      </c>
      <c r="F12" s="301">
        <v>6.9500000000000006E-2</v>
      </c>
      <c r="G12" s="303">
        <v>55923</v>
      </c>
    </row>
    <row r="13" spans="1:7" ht="15" thickBot="1" x14ac:dyDescent="0.35">
      <c r="A13" s="294">
        <v>2020</v>
      </c>
      <c r="B13" s="295">
        <v>2711</v>
      </c>
      <c r="C13" s="296">
        <v>0.3735</v>
      </c>
      <c r="D13" s="297">
        <v>0.34538000000000002</v>
      </c>
      <c r="E13" s="296">
        <v>0.59619999999999995</v>
      </c>
      <c r="F13" s="296">
        <v>6.7000000000000004E-2</v>
      </c>
      <c r="G13" s="298">
        <v>57232</v>
      </c>
    </row>
    <row r="14" spans="1:7" x14ac:dyDescent="0.3">
      <c r="A14" s="299">
        <v>2021</v>
      </c>
      <c r="B14" s="300">
        <v>2837</v>
      </c>
      <c r="C14" s="301">
        <v>0.371</v>
      </c>
      <c r="D14" s="302">
        <v>0.32518999999999998</v>
      </c>
      <c r="E14" s="301">
        <v>0.58979999999999999</v>
      </c>
      <c r="F14" s="301">
        <v>7.0000000000000007E-2</v>
      </c>
      <c r="G14" s="303">
        <v>58311</v>
      </c>
    </row>
    <row r="15" spans="1:7" ht="15" thickBot="1" x14ac:dyDescent="0.35">
      <c r="A15" s="294"/>
      <c r="B15" s="295"/>
      <c r="C15" s="296"/>
      <c r="D15" s="297"/>
      <c r="E15" s="296"/>
      <c r="F15" s="296"/>
      <c r="G15" s="298"/>
    </row>
    <row r="16" spans="1:7" x14ac:dyDescent="0.3">
      <c r="A16" s="299"/>
      <c r="B16" s="300"/>
      <c r="C16" s="301"/>
      <c r="D16" s="302"/>
      <c r="E16" s="301"/>
      <c r="F16" s="301"/>
      <c r="G16" s="303"/>
    </row>
    <row r="17" spans="1:7" ht="15" thickBot="1" x14ac:dyDescent="0.35">
      <c r="A17" s="294"/>
      <c r="B17" s="295"/>
      <c r="C17" s="296"/>
      <c r="D17" s="297"/>
      <c r="E17" s="296"/>
      <c r="F17" s="296"/>
      <c r="G17" s="298"/>
    </row>
    <row r="18" spans="1:7" x14ac:dyDescent="0.3">
      <c r="A18" s="299"/>
      <c r="B18" s="300"/>
      <c r="C18" s="301"/>
      <c r="D18" s="302"/>
      <c r="E18" s="301"/>
      <c r="F18" s="301"/>
      <c r="G18" s="303"/>
    </row>
    <row r="19" spans="1:7" ht="15" thickBot="1" x14ac:dyDescent="0.35">
      <c r="A19" s="294"/>
      <c r="B19" s="295"/>
      <c r="C19" s="296"/>
      <c r="D19" s="297"/>
      <c r="E19" s="296"/>
      <c r="F19" s="296"/>
      <c r="G19" s="298"/>
    </row>
    <row r="20" spans="1:7" x14ac:dyDescent="0.3">
      <c r="A20" s="299"/>
      <c r="B20" s="300"/>
      <c r="C20" s="301"/>
      <c r="D20" s="302"/>
      <c r="E20" s="301"/>
      <c r="F20" s="301"/>
      <c r="G20" s="303"/>
    </row>
    <row r="21" spans="1:7" ht="15" thickBot="1" x14ac:dyDescent="0.35">
      <c r="A21" s="294"/>
      <c r="B21" s="295"/>
      <c r="C21" s="296"/>
      <c r="D21" s="297"/>
      <c r="E21" s="296"/>
      <c r="F21" s="296"/>
      <c r="G21" s="298"/>
    </row>
    <row r="22" spans="1:7" x14ac:dyDescent="0.3">
      <c r="A22" s="299"/>
      <c r="B22" s="300"/>
      <c r="C22" s="301"/>
      <c r="D22" s="302"/>
      <c r="E22" s="301"/>
      <c r="F22" s="301"/>
      <c r="G22" s="303"/>
    </row>
    <row r="23" spans="1:7" ht="15" thickBot="1" x14ac:dyDescent="0.35">
      <c r="A23" s="294"/>
      <c r="B23" s="295"/>
      <c r="C23" s="296"/>
      <c r="D23" s="297"/>
      <c r="E23" s="296"/>
      <c r="F23" s="296"/>
      <c r="G23" s="298"/>
    </row>
    <row r="24" spans="1:7" x14ac:dyDescent="0.3">
      <c r="A24" s="299"/>
      <c r="B24" s="300"/>
      <c r="C24" s="301"/>
      <c r="D24" s="302"/>
      <c r="E24" s="301"/>
      <c r="F24" s="301"/>
      <c r="G24" s="303"/>
    </row>
    <row r="25" spans="1:7" ht="15" thickBot="1" x14ac:dyDescent="0.35">
      <c r="A25" s="294"/>
      <c r="B25" s="295"/>
      <c r="C25" s="296"/>
      <c r="D25" s="297"/>
      <c r="E25" s="296"/>
      <c r="F25" s="296"/>
      <c r="G25" s="298"/>
    </row>
    <row r="26" spans="1:7" x14ac:dyDescent="0.3">
      <c r="A26" s="299"/>
      <c r="B26" s="300"/>
      <c r="C26" s="301"/>
      <c r="D26" s="302"/>
      <c r="E26" s="301"/>
      <c r="F26" s="301"/>
      <c r="G26" s="303"/>
    </row>
    <row r="27" spans="1:7" ht="15" thickBot="1" x14ac:dyDescent="0.35">
      <c r="A27" s="294"/>
      <c r="B27" s="295"/>
      <c r="C27" s="296"/>
      <c r="D27" s="297"/>
      <c r="E27" s="296"/>
      <c r="F27" s="296"/>
      <c r="G27" s="298"/>
    </row>
    <row r="28" spans="1:7" x14ac:dyDescent="0.3">
      <c r="A28" s="299"/>
      <c r="B28" s="300"/>
      <c r="C28" s="301"/>
      <c r="D28" s="302"/>
      <c r="E28" s="301"/>
      <c r="F28" s="301"/>
      <c r="G28" s="303"/>
    </row>
    <row r="29" spans="1:7" ht="15" thickBot="1" x14ac:dyDescent="0.35">
      <c r="A29" s="294"/>
      <c r="B29" s="295"/>
      <c r="C29" s="296"/>
      <c r="D29" s="297"/>
      <c r="E29" s="296"/>
      <c r="F29" s="296"/>
      <c r="G29" s="298"/>
    </row>
    <row r="30" spans="1:7" x14ac:dyDescent="0.3">
      <c r="A30" s="299"/>
      <c r="B30" s="300"/>
      <c r="C30" s="301"/>
      <c r="D30" s="302"/>
      <c r="E30" s="301"/>
      <c r="F30" s="301"/>
      <c r="G30" s="303"/>
    </row>
    <row r="31" spans="1:7" ht="15" thickBot="1" x14ac:dyDescent="0.35">
      <c r="A31" s="294"/>
      <c r="B31" s="295"/>
      <c r="C31" s="296"/>
      <c r="D31" s="297"/>
      <c r="E31" s="296"/>
      <c r="F31" s="296"/>
      <c r="G31" s="298"/>
    </row>
    <row r="32" spans="1:7" x14ac:dyDescent="0.3">
      <c r="A32" s="299"/>
      <c r="B32" s="300"/>
      <c r="C32" s="301"/>
      <c r="D32" s="302"/>
      <c r="E32" s="301"/>
      <c r="F32" s="301"/>
      <c r="G32" s="303"/>
    </row>
    <row r="33" spans="1:7" ht="15" thickBot="1" x14ac:dyDescent="0.35">
      <c r="A33" s="294"/>
      <c r="B33" s="295"/>
      <c r="C33" s="296"/>
      <c r="D33" s="297"/>
      <c r="E33" s="296"/>
      <c r="F33" s="296"/>
      <c r="G33" s="298"/>
    </row>
    <row r="34" spans="1:7" x14ac:dyDescent="0.3">
      <c r="A34" s="299"/>
      <c r="B34" s="300"/>
      <c r="C34" s="301"/>
      <c r="D34" s="302"/>
      <c r="E34" s="301"/>
      <c r="F34" s="301"/>
      <c r="G34" s="303"/>
    </row>
    <row r="35" spans="1:7" x14ac:dyDescent="0.3">
      <c r="A35" s="294"/>
      <c r="B35" s="295"/>
      <c r="C35" s="296"/>
      <c r="D35" s="297"/>
      <c r="E35" s="296"/>
      <c r="F35" s="296"/>
      <c r="G35" s="298"/>
    </row>
  </sheetData>
  <pageMargins left="0.7" right="0.7" top="0.75" bottom="0.75" header="0.3" footer="0.3"/>
  <pageSetup paperSize="9" orientation="portrait" verticalDpi="30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J196"/>
  <sheetViews>
    <sheetView showGridLines="0" workbookViewId="0">
      <selection activeCell="J148" sqref="J148"/>
    </sheetView>
  </sheetViews>
  <sheetFormatPr defaultColWidth="9.109375" defaultRowHeight="14.4" x14ac:dyDescent="0.3"/>
  <cols>
    <col min="1" max="1" width="2.33203125" style="3" customWidth="1"/>
    <col min="2" max="2" width="30.109375" style="3" customWidth="1"/>
    <col min="3" max="3" width="10.88671875" style="3" customWidth="1"/>
    <col min="4" max="4" width="13.44140625" style="3" customWidth="1"/>
    <col min="5" max="5" width="15.109375" style="3" customWidth="1"/>
    <col min="6" max="6" width="13.6640625" style="3" customWidth="1"/>
    <col min="7" max="7" width="3" style="3" customWidth="1"/>
    <col min="8" max="8" width="4.5546875" style="3" customWidth="1"/>
    <col min="9" max="9" width="12.6640625" style="3" customWidth="1"/>
    <col min="10" max="10" width="10.88671875" style="3" bestFit="1" customWidth="1"/>
    <col min="11" max="16384" width="9.109375" style="3"/>
  </cols>
  <sheetData>
    <row r="1" spans="1:9" ht="27.75" customHeight="1" x14ac:dyDescent="0.3"/>
    <row r="2" spans="1:9" ht="23.4" x14ac:dyDescent="0.45">
      <c r="A2" s="110" t="str">
        <f>"Direct berekenen bruto vordering "&amp;JAAR!F15 &amp;"&lt; Pens. Ger. Leeftijd"</f>
        <v>Direct berekenen bruto vordering 2021&lt; Pens. Ger. Leeftijd</v>
      </c>
      <c r="B2" s="111"/>
      <c r="C2" s="111"/>
      <c r="D2" s="111"/>
      <c r="E2" s="111"/>
      <c r="F2" s="111"/>
      <c r="G2" s="111"/>
      <c r="H2" s="26"/>
    </row>
    <row r="3" spans="1:9" s="9" customFormat="1" ht="9.75" customHeight="1" x14ac:dyDescent="0.25">
      <c r="A3" s="74"/>
      <c r="B3" s="1"/>
      <c r="C3" s="1"/>
      <c r="D3" s="1"/>
      <c r="E3" s="1"/>
      <c r="F3" s="1"/>
      <c r="G3" s="1"/>
      <c r="H3" s="1"/>
    </row>
    <row r="4" spans="1:9" s="9" customFormat="1" ht="15.75" customHeight="1" x14ac:dyDescent="0.3">
      <c r="A4" s="27"/>
      <c r="B4" s="28" t="s">
        <v>139</v>
      </c>
      <c r="C4" s="112">
        <f>JAAR!D6</f>
        <v>0</v>
      </c>
      <c r="D4" s="113"/>
      <c r="E4" s="114"/>
      <c r="F4" s="29"/>
      <c r="G4" s="29"/>
      <c r="H4" s="1"/>
    </row>
    <row r="5" spans="1:9" s="9" customFormat="1" ht="15.75" customHeight="1" x14ac:dyDescent="0.3">
      <c r="A5" s="27"/>
      <c r="B5" s="30" t="s">
        <v>0</v>
      </c>
      <c r="C5" s="112"/>
      <c r="D5" s="113"/>
      <c r="E5" s="114"/>
      <c r="F5" s="29"/>
      <c r="G5" s="29"/>
      <c r="H5" s="1"/>
    </row>
    <row r="6" spans="1:9" s="9" customFormat="1" ht="15.75" customHeight="1" x14ac:dyDescent="0.3">
      <c r="A6" s="27"/>
      <c r="B6" s="29"/>
      <c r="C6" s="29"/>
      <c r="D6" s="29"/>
      <c r="E6" s="29"/>
      <c r="F6" s="29"/>
      <c r="G6" s="29"/>
      <c r="H6" s="1"/>
    </row>
    <row r="7" spans="1:9" ht="15.75" customHeight="1" x14ac:dyDescent="0.3">
      <c r="A7" s="29" t="s">
        <v>113</v>
      </c>
      <c r="B7" s="29"/>
      <c r="C7" s="29"/>
      <c r="D7" s="29"/>
      <c r="E7" s="29"/>
      <c r="F7" s="115">
        <v>0</v>
      </c>
      <c r="G7" s="29"/>
      <c r="H7" s="1"/>
      <c r="I7" s="9"/>
    </row>
    <row r="8" spans="1:9" ht="15.75" customHeight="1" thickBot="1" x14ac:dyDescent="0.35">
      <c r="A8" s="29" t="s">
        <v>114</v>
      </c>
      <c r="B8" s="29"/>
      <c r="C8" s="29"/>
      <c r="D8" s="29"/>
      <c r="E8" s="29"/>
      <c r="F8" s="116">
        <v>0</v>
      </c>
      <c r="G8" s="29"/>
      <c r="H8" s="1"/>
      <c r="I8" s="9"/>
    </row>
    <row r="9" spans="1:9" ht="15.75" customHeight="1" x14ac:dyDescent="0.3">
      <c r="A9" s="32" t="s">
        <v>1</v>
      </c>
      <c r="B9" s="32"/>
      <c r="C9" s="29"/>
      <c r="D9" s="29"/>
      <c r="E9" s="29"/>
      <c r="F9" s="117">
        <f>F7+F8</f>
        <v>0</v>
      </c>
      <c r="G9" s="29"/>
      <c r="H9" s="1"/>
      <c r="I9" s="9"/>
    </row>
    <row r="10" spans="1:9" ht="15.75" customHeight="1" x14ac:dyDescent="0.3">
      <c r="A10" s="29"/>
      <c r="B10" s="29"/>
      <c r="C10" s="29"/>
      <c r="D10" s="29"/>
      <c r="E10" s="29"/>
      <c r="F10" s="29"/>
      <c r="G10" s="29"/>
      <c r="H10" s="1"/>
      <c r="I10" s="9"/>
    </row>
    <row r="11" spans="1:9" ht="15.75" customHeight="1" x14ac:dyDescent="0.3">
      <c r="A11" s="27" t="s">
        <v>115</v>
      </c>
      <c r="B11" s="29"/>
      <c r="C11" s="29"/>
      <c r="D11" s="29"/>
      <c r="E11" s="29"/>
      <c r="F11" s="29"/>
      <c r="G11" s="29"/>
      <c r="H11" s="1"/>
      <c r="I11" s="9"/>
    </row>
    <row r="12" spans="1:9" ht="15.75" customHeight="1" x14ac:dyDescent="0.3">
      <c r="A12" s="29"/>
      <c r="B12" s="29"/>
      <c r="C12" s="29"/>
      <c r="D12" s="29"/>
      <c r="E12" s="39"/>
      <c r="F12" s="29"/>
      <c r="G12" s="29"/>
      <c r="H12" s="1"/>
      <c r="I12" s="9"/>
    </row>
    <row r="13" spans="1:9" ht="15.75" customHeight="1" x14ac:dyDescent="0.3">
      <c r="A13" s="29" t="s">
        <v>81</v>
      </c>
      <c r="B13" s="29"/>
      <c r="C13" s="29"/>
      <c r="D13" s="118">
        <v>0</v>
      </c>
      <c r="E13" s="65">
        <f>D13*parameters!C3/12</f>
        <v>0</v>
      </c>
      <c r="F13" s="29"/>
      <c r="G13" s="29"/>
      <c r="H13" s="1"/>
      <c r="I13" s="9"/>
    </row>
    <row r="14" spans="1:9" ht="15.75" customHeight="1" x14ac:dyDescent="0.3">
      <c r="A14" s="29" t="s">
        <v>82</v>
      </c>
      <c r="B14" s="29"/>
      <c r="C14" s="29"/>
      <c r="D14" s="32"/>
      <c r="E14" s="66"/>
      <c r="F14" s="29"/>
      <c r="G14" s="29"/>
      <c r="H14" s="1"/>
      <c r="I14" s="9"/>
    </row>
    <row r="15" spans="1:9" ht="15.75" customHeight="1" x14ac:dyDescent="0.3">
      <c r="A15" s="27">
        <v>1</v>
      </c>
      <c r="B15" s="29" t="s">
        <v>3</v>
      </c>
      <c r="C15" s="29"/>
      <c r="D15" s="118"/>
      <c r="E15" s="34">
        <f>IF(D16=0,0,IF(D15=0,0,ROUND((D15/D16)*parameters!$F$3,2)))</f>
        <v>0</v>
      </c>
      <c r="F15" s="29"/>
      <c r="G15" s="29"/>
      <c r="H15" s="1"/>
      <c r="I15" s="9"/>
    </row>
    <row r="16" spans="1:9" ht="15.75" customHeight="1" thickBot="1" x14ac:dyDescent="0.35">
      <c r="A16" s="29"/>
      <c r="B16" s="29" t="s">
        <v>4</v>
      </c>
      <c r="C16" s="29"/>
      <c r="D16" s="119"/>
      <c r="E16" s="66"/>
      <c r="F16" s="29"/>
      <c r="G16" s="29"/>
      <c r="H16" s="1"/>
      <c r="I16" s="9"/>
    </row>
    <row r="17" spans="1:9" ht="15.75" customHeight="1" thickTop="1" x14ac:dyDescent="0.3">
      <c r="A17" s="27">
        <v>2</v>
      </c>
      <c r="B17" s="29" t="s">
        <v>3</v>
      </c>
      <c r="C17" s="29"/>
      <c r="D17" s="120"/>
      <c r="E17" s="34">
        <f>IF(D18=0,0,IF(D17=0,0,ROUND((D17/D18)*parameters!$F$3,2)))</f>
        <v>0</v>
      </c>
      <c r="F17" s="29"/>
      <c r="G17" s="29"/>
      <c r="H17" s="1"/>
      <c r="I17" s="9"/>
    </row>
    <row r="18" spans="1:9" ht="15.75" customHeight="1" x14ac:dyDescent="0.3">
      <c r="A18" s="29"/>
      <c r="B18" s="29" t="s">
        <v>4</v>
      </c>
      <c r="C18" s="29"/>
      <c r="D18" s="118"/>
      <c r="E18" s="66"/>
      <c r="F18" s="29"/>
      <c r="G18" s="29"/>
      <c r="H18" s="1"/>
      <c r="I18" s="9"/>
    </row>
    <row r="19" spans="1:9" ht="15.75" customHeight="1" x14ac:dyDescent="0.3">
      <c r="A19" s="29"/>
      <c r="B19" s="29"/>
      <c r="C19" s="29"/>
      <c r="D19" s="29"/>
      <c r="E19" s="29"/>
      <c r="F19" s="29"/>
      <c r="G19" s="29"/>
      <c r="H19" s="1"/>
      <c r="I19" s="9"/>
    </row>
    <row r="20" spans="1:9" ht="15.75" customHeight="1" x14ac:dyDescent="0.3">
      <c r="A20" s="29" t="s">
        <v>83</v>
      </c>
      <c r="B20" s="29"/>
      <c r="C20" s="29"/>
      <c r="D20" s="29"/>
      <c r="E20" s="29"/>
      <c r="F20" s="36">
        <f>IF((E13+E15+E17)&lt;=parameters!$C$3,(E13+E15+E17),parameters!$C$3)</f>
        <v>0</v>
      </c>
      <c r="G20" s="27" t="s">
        <v>5</v>
      </c>
      <c r="H20" s="1"/>
      <c r="I20" s="9"/>
    </row>
    <row r="21" spans="1:9" ht="15.75" customHeight="1" x14ac:dyDescent="0.3">
      <c r="A21" s="29"/>
      <c r="B21" s="29"/>
      <c r="C21" s="29"/>
      <c r="D21" s="29"/>
      <c r="E21" s="29"/>
      <c r="F21" s="29"/>
      <c r="G21" s="29"/>
      <c r="H21" s="1"/>
      <c r="I21" s="9"/>
    </row>
    <row r="22" spans="1:9" ht="15.75" customHeight="1" x14ac:dyDescent="0.3">
      <c r="A22" s="27" t="s">
        <v>116</v>
      </c>
      <c r="B22" s="29"/>
      <c r="C22" s="29"/>
      <c r="D22" s="29"/>
      <c r="E22" s="29"/>
      <c r="F22" s="29"/>
      <c r="G22" s="29"/>
      <c r="H22" s="1"/>
      <c r="I22" s="9"/>
    </row>
    <row r="23" spans="1:9" ht="15.75" customHeight="1" x14ac:dyDescent="0.3">
      <c r="A23" s="67" t="s">
        <v>41</v>
      </c>
      <c r="B23" s="67"/>
      <c r="C23" s="67"/>
      <c r="D23" s="67"/>
      <c r="E23" s="67"/>
      <c r="F23" s="29"/>
      <c r="G23" s="29"/>
      <c r="H23" s="1"/>
      <c r="I23" s="9"/>
    </row>
    <row r="24" spans="1:9" ht="15.75" customHeight="1" x14ac:dyDescent="0.3">
      <c r="A24" s="29" t="s">
        <v>85</v>
      </c>
      <c r="B24" s="29"/>
      <c r="C24" s="29"/>
      <c r="D24" s="29"/>
      <c r="E24" s="29"/>
      <c r="F24" s="29"/>
      <c r="G24" s="29"/>
      <c r="H24" s="1"/>
      <c r="I24" s="9"/>
    </row>
    <row r="25" spans="1:9" ht="15.75" customHeight="1" thickBot="1" x14ac:dyDescent="0.35">
      <c r="A25" s="29" t="s">
        <v>42</v>
      </c>
      <c r="B25" s="29"/>
      <c r="C25" s="29"/>
      <c r="D25" s="29"/>
      <c r="E25" s="29"/>
      <c r="F25" s="121"/>
      <c r="G25" s="27" t="s">
        <v>6</v>
      </c>
      <c r="H25" s="1"/>
      <c r="I25" s="9"/>
    </row>
    <row r="26" spans="1:9" ht="15.75" customHeight="1" thickTop="1" x14ac:dyDescent="0.3">
      <c r="A26" s="29"/>
      <c r="B26" s="29"/>
      <c r="C26" s="29"/>
      <c r="D26" s="29"/>
      <c r="E26" s="29"/>
      <c r="F26" s="29"/>
      <c r="G26" s="29"/>
      <c r="H26" s="1"/>
      <c r="I26" s="9"/>
    </row>
    <row r="27" spans="1:9" ht="15.75" customHeight="1" x14ac:dyDescent="0.3">
      <c r="A27" s="27" t="s">
        <v>86</v>
      </c>
      <c r="B27" s="29"/>
      <c r="C27" s="29"/>
      <c r="D27" s="29"/>
      <c r="E27" s="29"/>
      <c r="F27" s="36">
        <f>IF(F20-F25&lt;=0,0,F20-F25)</f>
        <v>0</v>
      </c>
      <c r="G27" s="27" t="s">
        <v>7</v>
      </c>
      <c r="H27" s="1"/>
    </row>
    <row r="28" spans="1:9" ht="15.75" customHeight="1" x14ac:dyDescent="0.3">
      <c r="A28" s="29" t="s">
        <v>43</v>
      </c>
      <c r="B28" s="29"/>
      <c r="C28" s="29"/>
      <c r="D28" s="29"/>
      <c r="E28" s="29"/>
      <c r="F28" s="38">
        <f>IF(F20-F25&lt;=0,0,IF(F20-F25&gt;=F9*parameters!$C$6,F9*parameters!$C$6,F20-F25))</f>
        <v>0</v>
      </c>
      <c r="G28" s="29" t="s">
        <v>9</v>
      </c>
      <c r="H28" s="1"/>
      <c r="I28" s="75"/>
    </row>
    <row r="29" spans="1:9" ht="15.75" customHeight="1" x14ac:dyDescent="0.3">
      <c r="A29" s="27"/>
      <c r="B29" s="29"/>
      <c r="C29" s="29"/>
      <c r="D29" s="29"/>
      <c r="E29" s="29"/>
      <c r="F29" s="36"/>
      <c r="G29" s="27"/>
      <c r="H29" s="1"/>
      <c r="I29" s="75"/>
    </row>
    <row r="30" spans="1:9" ht="15.75" customHeight="1" x14ac:dyDescent="0.3">
      <c r="A30" s="27" t="s">
        <v>87</v>
      </c>
      <c r="B30" s="29"/>
      <c r="C30" s="29"/>
      <c r="D30" s="29"/>
      <c r="E30" s="29"/>
      <c r="F30" s="29"/>
      <c r="G30" s="29"/>
      <c r="H30" s="1"/>
      <c r="I30" s="9"/>
    </row>
    <row r="31" spans="1:9" ht="15.75" customHeight="1" x14ac:dyDescent="0.3">
      <c r="A31" s="29"/>
      <c r="B31" s="29"/>
      <c r="C31" s="29"/>
      <c r="D31" s="29"/>
      <c r="E31" s="29"/>
      <c r="F31" s="29"/>
      <c r="G31" s="29"/>
      <c r="H31" s="1"/>
      <c r="I31" s="9"/>
    </row>
    <row r="32" spans="1:9" ht="15.75" customHeight="1" x14ac:dyDescent="0.3">
      <c r="A32" s="29" t="s">
        <v>88</v>
      </c>
      <c r="B32" s="29"/>
      <c r="C32" s="29"/>
      <c r="D32" s="29"/>
      <c r="E32" s="29"/>
      <c r="F32" s="39">
        <f>F9</f>
        <v>0</v>
      </c>
      <c r="G32" s="29"/>
      <c r="H32" s="1"/>
      <c r="I32" s="9"/>
    </row>
    <row r="33" spans="1:9" ht="15.75" customHeight="1" thickBot="1" x14ac:dyDescent="0.35">
      <c r="A33" s="29" t="s">
        <v>89</v>
      </c>
      <c r="B33" s="29"/>
      <c r="C33" s="29"/>
      <c r="D33" s="29"/>
      <c r="E33" s="29"/>
      <c r="F33" s="40">
        <f>F27</f>
        <v>0</v>
      </c>
      <c r="G33" s="27" t="s">
        <v>7</v>
      </c>
      <c r="H33" s="1"/>
      <c r="I33" s="9"/>
    </row>
    <row r="34" spans="1:9" ht="15.75" customHeight="1" thickTop="1" x14ac:dyDescent="0.3">
      <c r="A34" s="29" t="s">
        <v>90</v>
      </c>
      <c r="B34" s="29"/>
      <c r="C34" s="29"/>
      <c r="D34" s="29"/>
      <c r="E34" s="29"/>
      <c r="F34" s="39">
        <f>IF(F32-F33&lt;=0,0,F32-F33)</f>
        <v>0</v>
      </c>
      <c r="G34" s="29"/>
      <c r="H34" s="1"/>
      <c r="I34" s="9"/>
    </row>
    <row r="35" spans="1:9" ht="15.75" customHeight="1" x14ac:dyDescent="0.3">
      <c r="A35" s="29"/>
      <c r="B35" s="29"/>
      <c r="C35" s="29"/>
      <c r="D35" s="29"/>
      <c r="E35" s="29"/>
      <c r="F35" s="29"/>
      <c r="G35" s="29"/>
      <c r="H35" s="1"/>
      <c r="I35" s="9"/>
    </row>
    <row r="36" spans="1:9" ht="15.75" customHeight="1" x14ac:dyDescent="0.3">
      <c r="A36" s="29" t="s">
        <v>91</v>
      </c>
      <c r="B36" s="29"/>
      <c r="C36" s="29"/>
      <c r="D36" s="39">
        <f>F34</f>
        <v>0</v>
      </c>
      <c r="E36" s="29" t="str">
        <f>parameters!$F$12</f>
        <v>x 58,98% (E)</v>
      </c>
      <c r="F36" s="39">
        <f>F34*parameters!$C$12</f>
        <v>0</v>
      </c>
      <c r="G36" s="29"/>
      <c r="H36" s="1"/>
      <c r="I36" s="9"/>
    </row>
    <row r="37" spans="1:9" ht="15.75" customHeight="1" thickBot="1" x14ac:dyDescent="0.35">
      <c r="A37" s="29" t="s">
        <v>92</v>
      </c>
      <c r="B37" s="29"/>
      <c r="C37" s="29"/>
      <c r="D37" s="29"/>
      <c r="E37" s="29"/>
      <c r="F37" s="40">
        <f>F33</f>
        <v>0</v>
      </c>
      <c r="G37" s="29"/>
      <c r="H37" s="1"/>
      <c r="I37" s="9"/>
    </row>
    <row r="38" spans="1:9" ht="15.75" customHeight="1" thickTop="1" x14ac:dyDescent="0.3">
      <c r="A38" s="41" t="s">
        <v>79</v>
      </c>
      <c r="B38" s="29"/>
      <c r="C38" s="29"/>
      <c r="D38" s="29"/>
      <c r="E38" s="29"/>
      <c r="F38" s="36">
        <f>IF(F36-F37&lt;=0,0,F36-F37)</f>
        <v>0</v>
      </c>
      <c r="G38" s="29"/>
      <c r="H38" s="1"/>
      <c r="I38" s="9"/>
    </row>
    <row r="39" spans="1:9" ht="15.75" customHeight="1" x14ac:dyDescent="0.3">
      <c r="A39" s="41"/>
      <c r="B39" s="29"/>
      <c r="C39" s="29"/>
      <c r="D39" s="29"/>
      <c r="E39" s="29"/>
      <c r="F39" s="36"/>
      <c r="G39" s="29"/>
      <c r="H39" s="1"/>
      <c r="I39" s="9"/>
    </row>
    <row r="40" spans="1:9" ht="15.75" customHeight="1" x14ac:dyDescent="0.3">
      <c r="A40" s="41"/>
      <c r="B40" s="29"/>
      <c r="C40" s="29"/>
      <c r="D40" s="29"/>
      <c r="E40" s="29"/>
      <c r="F40" s="36"/>
      <c r="G40" s="29"/>
      <c r="H40" s="1"/>
      <c r="I40" s="9"/>
    </row>
    <row r="41" spans="1:9" ht="15.75" customHeight="1" x14ac:dyDescent="0.3">
      <c r="A41" s="41"/>
      <c r="B41" s="29"/>
      <c r="C41" s="29"/>
      <c r="D41" s="29"/>
      <c r="E41" s="29"/>
      <c r="F41" s="36"/>
      <c r="G41" s="29"/>
      <c r="H41" s="1"/>
      <c r="I41" s="9"/>
    </row>
    <row r="42" spans="1:9" ht="15.75" customHeight="1" x14ac:dyDescent="0.3">
      <c r="A42" s="41"/>
      <c r="B42" s="29"/>
      <c r="C42" s="29"/>
      <c r="D42" s="29"/>
      <c r="E42" s="29"/>
      <c r="F42" s="36"/>
      <c r="G42" s="29"/>
      <c r="H42" s="1"/>
      <c r="I42" s="9"/>
    </row>
    <row r="43" spans="1:9" ht="15.75" customHeight="1" x14ac:dyDescent="0.3">
      <c r="A43" s="41"/>
      <c r="B43" s="29"/>
      <c r="C43" s="29"/>
      <c r="D43" s="29"/>
      <c r="E43" s="29"/>
      <c r="F43" s="36"/>
      <c r="G43" s="29"/>
      <c r="H43" s="1"/>
      <c r="I43" s="9"/>
    </row>
    <row r="44" spans="1:9" ht="15.75" customHeight="1" x14ac:dyDescent="0.3">
      <c r="A44" s="41"/>
      <c r="B44" s="29"/>
      <c r="C44" s="29"/>
      <c r="D44" s="29"/>
      <c r="E44" s="29"/>
      <c r="F44" s="36"/>
      <c r="G44" s="29"/>
      <c r="H44" s="1"/>
      <c r="I44" s="9"/>
    </row>
    <row r="45" spans="1:9" ht="15.75" customHeight="1" x14ac:dyDescent="0.3">
      <c r="A45" s="41"/>
      <c r="B45" s="61" t="s">
        <v>141</v>
      </c>
      <c r="C45" s="29"/>
      <c r="D45" s="29"/>
      <c r="E45" s="29"/>
      <c r="F45" s="36"/>
      <c r="G45" s="29"/>
      <c r="H45" s="1"/>
      <c r="I45" s="9"/>
    </row>
    <row r="46" spans="1:9" ht="15.75" customHeight="1" x14ac:dyDescent="0.3">
      <c r="A46" s="41"/>
      <c r="B46" s="29"/>
      <c r="C46" s="29"/>
      <c r="D46" s="29"/>
      <c r="E46" s="29"/>
      <c r="F46" s="36"/>
      <c r="G46" s="29"/>
      <c r="H46" s="1"/>
      <c r="I46" s="9"/>
    </row>
    <row r="47" spans="1:9" ht="15.75" customHeight="1" x14ac:dyDescent="0.3">
      <c r="A47" s="41"/>
      <c r="B47" s="29"/>
      <c r="C47" s="29"/>
      <c r="D47" s="29"/>
      <c r="E47" s="29"/>
      <c r="F47" s="36"/>
      <c r="G47" s="29"/>
      <c r="H47" s="1"/>
      <c r="I47" s="9"/>
    </row>
    <row r="48" spans="1:9" ht="15.75" customHeight="1" x14ac:dyDescent="0.3">
      <c r="A48" s="41"/>
      <c r="B48" s="29"/>
      <c r="C48" s="29"/>
      <c r="D48" s="29"/>
      <c r="E48" s="29"/>
      <c r="F48" s="36"/>
      <c r="G48" s="29"/>
      <c r="H48" s="1"/>
      <c r="I48" s="9"/>
    </row>
    <row r="49" spans="1:10" ht="15.75" customHeight="1" x14ac:dyDescent="0.3">
      <c r="A49" s="29"/>
      <c r="B49" s="29"/>
      <c r="C49" s="29"/>
      <c r="D49" s="29"/>
      <c r="E49" s="29"/>
      <c r="F49" s="29"/>
      <c r="G49" s="29"/>
      <c r="H49" s="1"/>
      <c r="I49" s="9"/>
    </row>
    <row r="50" spans="1:10" ht="15.75" customHeight="1" x14ac:dyDescent="0.3">
      <c r="A50" s="42" t="s">
        <v>93</v>
      </c>
      <c r="B50" s="43"/>
      <c r="C50" s="43"/>
      <c r="D50" s="43"/>
      <c r="E50" s="43"/>
      <c r="F50" s="44"/>
      <c r="G50" s="29"/>
      <c r="H50" s="1"/>
      <c r="I50" s="9"/>
    </row>
    <row r="51" spans="1:10" ht="15.75" customHeight="1" x14ac:dyDescent="0.3">
      <c r="A51" s="45"/>
      <c r="B51" s="46" t="s">
        <v>112</v>
      </c>
      <c r="C51" s="46"/>
      <c r="D51" s="47">
        <f>VLOOKUP(JAAR!$F$15,Percentages!$A$4:$G$35,7)</f>
        <v>58311</v>
      </c>
      <c r="E51" s="47">
        <f>D51/12</f>
        <v>4859.25</v>
      </c>
      <c r="F51" s="48"/>
      <c r="G51" s="37" t="s">
        <v>33</v>
      </c>
      <c r="H51" s="1"/>
      <c r="I51" s="9"/>
    </row>
    <row r="52" spans="1:10" ht="15.75" customHeight="1" x14ac:dyDescent="0.3">
      <c r="A52" s="45" t="s">
        <v>88</v>
      </c>
      <c r="B52" s="46"/>
      <c r="C52" s="49"/>
      <c r="D52" s="49"/>
      <c r="E52" s="49"/>
      <c r="F52" s="50">
        <f>F9</f>
        <v>0</v>
      </c>
      <c r="G52" s="29"/>
      <c r="H52" s="1"/>
      <c r="I52" s="9"/>
    </row>
    <row r="53" spans="1:10" ht="15.75" customHeight="1" thickBot="1" x14ac:dyDescent="0.35">
      <c r="A53" s="45" t="s">
        <v>94</v>
      </c>
      <c r="B53" s="46"/>
      <c r="C53" s="49"/>
      <c r="D53" s="49"/>
      <c r="E53" s="49"/>
      <c r="F53" s="51">
        <f>F38</f>
        <v>0</v>
      </c>
      <c r="G53" s="29"/>
      <c r="H53" s="1"/>
      <c r="I53" s="9"/>
    </row>
    <row r="54" spans="1:10" ht="15.75" customHeight="1" thickTop="1" x14ac:dyDescent="0.3">
      <c r="A54" s="45" t="s">
        <v>95</v>
      </c>
      <c r="B54" s="46"/>
      <c r="C54" s="49"/>
      <c r="D54" s="49"/>
      <c r="E54" s="49"/>
      <c r="F54" s="50">
        <f>SUM(F52:F53)</f>
        <v>0</v>
      </c>
      <c r="G54" s="29"/>
      <c r="H54" s="1"/>
      <c r="I54" s="9"/>
    </row>
    <row r="55" spans="1:10" ht="15.75" customHeight="1" x14ac:dyDescent="0.3">
      <c r="A55" s="52" t="s">
        <v>96</v>
      </c>
      <c r="B55" s="46"/>
      <c r="C55" s="53">
        <f>D13*E51</f>
        <v>0</v>
      </c>
      <c r="D55" s="54">
        <f>IF(D15=0,0,(D15/D16)*D51/12)</f>
        <v>0</v>
      </c>
      <c r="E55" s="54">
        <f>IF(D17=0,0,(D17/D18)*D51/12)</f>
        <v>0</v>
      </c>
      <c r="F55" s="50">
        <f>IF((C55+D55+E55)&gt;F54,F54,IF(C55+D55+E55&gt;D51,D51,(C55+D55+E55)))</f>
        <v>0</v>
      </c>
      <c r="G55" s="29"/>
      <c r="H55" s="1"/>
      <c r="I55" s="9"/>
    </row>
    <row r="56" spans="1:10" ht="15.75" customHeight="1" x14ac:dyDescent="0.3">
      <c r="A56" s="52"/>
      <c r="B56" s="46"/>
      <c r="C56" s="47"/>
      <c r="D56" s="55"/>
      <c r="E56" s="55"/>
      <c r="F56" s="50"/>
      <c r="G56" s="29"/>
      <c r="H56" s="1"/>
      <c r="I56" s="9"/>
    </row>
    <row r="57" spans="1:10" ht="15.75" customHeight="1" x14ac:dyDescent="0.3">
      <c r="A57" s="56" t="s">
        <v>97</v>
      </c>
      <c r="B57" s="57"/>
      <c r="C57" s="58"/>
      <c r="D57" s="64" t="str">
        <f>parameters!$F$17</f>
        <v>7% x (H)</v>
      </c>
      <c r="E57" s="59">
        <f>IF((F55&lt;F54),F55,F54)</f>
        <v>0</v>
      </c>
      <c r="F57" s="60">
        <f>FLOOR(F55*parameters!$C$17,2)</f>
        <v>0</v>
      </c>
      <c r="G57" s="29"/>
      <c r="H57" s="1"/>
      <c r="I57" s="9"/>
    </row>
    <row r="58" spans="1:10" ht="15.75" customHeight="1" x14ac:dyDescent="0.3">
      <c r="G58" s="29"/>
      <c r="H58" s="1"/>
      <c r="I58" s="9"/>
    </row>
    <row r="59" spans="1:10" ht="15.75" customHeight="1" x14ac:dyDescent="0.3">
      <c r="A59" s="27" t="s">
        <v>98</v>
      </c>
      <c r="B59" s="29"/>
      <c r="C59" s="29"/>
      <c r="D59" s="29"/>
      <c r="E59" s="29"/>
      <c r="F59" s="29"/>
      <c r="G59" s="29"/>
      <c r="H59" s="1"/>
      <c r="I59" s="9"/>
    </row>
    <row r="60" spans="1:10" ht="15.75" customHeight="1" x14ac:dyDescent="0.3">
      <c r="A60" s="29"/>
      <c r="B60" s="29"/>
      <c r="C60" s="29"/>
      <c r="D60" s="29"/>
      <c r="E60" s="29"/>
      <c r="F60" s="29"/>
      <c r="G60" s="29"/>
      <c r="H60" s="1"/>
      <c r="I60" s="9"/>
    </row>
    <row r="61" spans="1:10" ht="15.75" customHeight="1" x14ac:dyDescent="0.3">
      <c r="A61" s="29" t="s">
        <v>88</v>
      </c>
      <c r="B61" s="29"/>
      <c r="C61" s="29"/>
      <c r="D61" s="29"/>
      <c r="E61" s="39"/>
      <c r="F61" s="122">
        <f>F7</f>
        <v>0</v>
      </c>
      <c r="G61" s="29"/>
      <c r="H61" s="1"/>
      <c r="I61" s="9"/>
    </row>
    <row r="62" spans="1:10" ht="15.75" customHeight="1" x14ac:dyDescent="0.3">
      <c r="A62" s="29" t="s">
        <v>99</v>
      </c>
      <c r="B62" s="29"/>
      <c r="C62" s="29"/>
      <c r="D62" s="29"/>
      <c r="E62" s="39"/>
      <c r="F62" s="122">
        <f>F8</f>
        <v>0</v>
      </c>
      <c r="G62" s="29"/>
      <c r="H62" s="1"/>
      <c r="I62" s="76"/>
    </row>
    <row r="63" spans="1:10" ht="15.75" customHeight="1" thickBot="1" x14ac:dyDescent="0.35">
      <c r="A63" s="29" t="s">
        <v>100</v>
      </c>
      <c r="B63" s="29"/>
      <c r="C63" s="27"/>
      <c r="D63" s="29"/>
      <c r="E63" s="39"/>
      <c r="F63" s="123">
        <f>IF(F38&lt;0.1,0,F38)</f>
        <v>0</v>
      </c>
      <c r="G63" s="29"/>
      <c r="H63" s="1"/>
      <c r="I63" s="76"/>
    </row>
    <row r="64" spans="1:10" ht="15.75" customHeight="1" thickTop="1" x14ac:dyDescent="0.3">
      <c r="A64" s="29" t="s">
        <v>101</v>
      </c>
      <c r="B64" s="29"/>
      <c r="C64" s="29"/>
      <c r="D64" s="29"/>
      <c r="E64" s="39"/>
      <c r="F64" s="124">
        <f>SUM(F61:F63)</f>
        <v>0</v>
      </c>
      <c r="G64" s="29"/>
      <c r="H64" s="1"/>
      <c r="I64" s="76"/>
      <c r="J64" s="62"/>
    </row>
    <row r="65" spans="1:9" ht="15.75" customHeight="1" x14ac:dyDescent="0.3">
      <c r="A65" s="63"/>
      <c r="B65" s="63"/>
      <c r="C65" s="63"/>
      <c r="D65" s="63"/>
      <c r="E65" s="68"/>
      <c r="F65" s="68"/>
      <c r="G65" s="63"/>
      <c r="H65" s="4"/>
      <c r="I65" s="76"/>
    </row>
    <row r="66" spans="1:9" ht="15.75" customHeight="1" x14ac:dyDescent="0.3">
      <c r="A66" s="77" t="s">
        <v>97</v>
      </c>
      <c r="B66" s="78"/>
      <c r="C66" s="78"/>
      <c r="D66" s="79">
        <f>F57</f>
        <v>0</v>
      </c>
      <c r="E66" s="68"/>
      <c r="F66" s="68"/>
      <c r="G66" s="63"/>
      <c r="H66" s="4"/>
      <c r="I66" s="76"/>
    </row>
    <row r="67" spans="1:9" ht="15.75" customHeight="1" x14ac:dyDescent="0.3">
      <c r="A67" s="80"/>
      <c r="B67" s="81"/>
      <c r="C67" s="81"/>
      <c r="D67" s="69"/>
      <c r="E67" s="69"/>
      <c r="F67" s="68"/>
      <c r="G67" s="63"/>
      <c r="H67" s="4"/>
      <c r="I67" s="76"/>
    </row>
    <row r="68" spans="1:9" ht="15.75" customHeight="1" x14ac:dyDescent="0.3">
      <c r="A68" s="82"/>
      <c r="B68" s="83" t="s">
        <v>34</v>
      </c>
      <c r="C68" s="84"/>
      <c r="D68" s="84"/>
      <c r="E68" s="85"/>
      <c r="F68" s="115"/>
      <c r="G68" s="33"/>
      <c r="H68" s="4"/>
      <c r="I68" s="9"/>
    </row>
    <row r="69" spans="1:9" ht="15.75" customHeight="1" x14ac:dyDescent="0.3">
      <c r="A69" s="27"/>
      <c r="B69" s="33" t="s">
        <v>105</v>
      </c>
      <c r="C69" s="33"/>
      <c r="D69" s="33"/>
      <c r="E69" s="86"/>
      <c r="F69" s="115">
        <v>0</v>
      </c>
      <c r="G69" s="33"/>
      <c r="H69" s="4"/>
      <c r="I69" s="9"/>
    </row>
    <row r="70" spans="1:9" ht="15.75" customHeight="1" x14ac:dyDescent="0.3">
      <c r="A70" s="27"/>
      <c r="B70" s="33"/>
      <c r="C70" s="86"/>
      <c r="D70" s="70" t="s">
        <v>11</v>
      </c>
      <c r="E70" s="33"/>
      <c r="F70" s="33"/>
      <c r="G70" s="33"/>
      <c r="H70" s="4"/>
      <c r="I70" s="76"/>
    </row>
    <row r="71" spans="1:9" ht="15.75" customHeight="1" x14ac:dyDescent="0.3">
      <c r="A71" s="27" t="s">
        <v>35</v>
      </c>
      <c r="B71" s="33"/>
      <c r="C71" s="86"/>
      <c r="D71" s="70" t="s">
        <v>11</v>
      </c>
      <c r="E71" s="33"/>
      <c r="F71" s="33"/>
      <c r="G71" s="33"/>
      <c r="H71" s="4"/>
      <c r="I71" s="9"/>
    </row>
    <row r="72" spans="1:9" ht="15.75" customHeight="1" x14ac:dyDescent="0.3">
      <c r="A72" s="27"/>
      <c r="B72" s="33"/>
      <c r="C72" s="29"/>
      <c r="D72" s="29"/>
      <c r="E72" s="29"/>
      <c r="F72" s="29"/>
      <c r="G72" s="29"/>
      <c r="H72" s="4"/>
      <c r="I72" s="9"/>
    </row>
    <row r="73" spans="1:9" ht="15.75" customHeight="1" x14ac:dyDescent="0.3">
      <c r="A73" s="29" t="s">
        <v>106</v>
      </c>
      <c r="B73" s="33"/>
      <c r="C73" s="29"/>
      <c r="D73" s="29"/>
      <c r="E73" s="29"/>
      <c r="F73" s="122">
        <f>F7-F68</f>
        <v>0</v>
      </c>
      <c r="G73" s="29"/>
      <c r="H73" s="4"/>
      <c r="I73" s="9"/>
    </row>
    <row r="74" spans="1:9" ht="15.75" customHeight="1" thickBot="1" x14ac:dyDescent="0.35">
      <c r="A74" s="32" t="s">
        <v>107</v>
      </c>
      <c r="B74" s="35"/>
      <c r="C74" s="29"/>
      <c r="D74" s="29"/>
      <c r="E74" s="32"/>
      <c r="F74" s="125">
        <f>F62+F69</f>
        <v>0</v>
      </c>
      <c r="G74" s="29"/>
      <c r="H74" s="4"/>
      <c r="I74" s="9"/>
    </row>
    <row r="75" spans="1:9" ht="15.75" customHeight="1" x14ac:dyDescent="0.3">
      <c r="A75" s="63" t="s">
        <v>108</v>
      </c>
      <c r="B75" s="87"/>
      <c r="C75" s="63"/>
      <c r="D75" s="63"/>
      <c r="E75" s="63"/>
      <c r="F75" s="126">
        <f>IF(F73=0,0,(F73+F74))</f>
        <v>0</v>
      </c>
      <c r="G75" s="29"/>
      <c r="H75" s="88"/>
    </row>
    <row r="76" spans="1:9" ht="15.75" customHeight="1" x14ac:dyDescent="0.3">
      <c r="A76" s="33"/>
      <c r="B76" s="33"/>
      <c r="C76" s="29"/>
      <c r="D76" s="29"/>
      <c r="E76" s="29"/>
      <c r="F76" s="29"/>
      <c r="G76" s="29"/>
      <c r="H76" s="88"/>
    </row>
    <row r="77" spans="1:9" ht="15.75" customHeight="1" x14ac:dyDescent="0.3">
      <c r="A77" s="27" t="s">
        <v>140</v>
      </c>
      <c r="B77" s="33"/>
      <c r="C77" s="29"/>
      <c r="D77" s="29"/>
      <c r="E77" s="29"/>
      <c r="F77" s="29"/>
      <c r="G77" s="29"/>
      <c r="H77" s="88"/>
    </row>
    <row r="78" spans="1:9" ht="15.75" customHeight="1" x14ac:dyDescent="0.3">
      <c r="A78" s="33"/>
      <c r="B78" s="33"/>
      <c r="C78" s="29"/>
      <c r="D78" s="29"/>
      <c r="E78" s="39"/>
      <c r="F78" s="29"/>
      <c r="G78" s="29"/>
      <c r="H78" s="88"/>
    </row>
    <row r="79" spans="1:9" ht="15.75" customHeight="1" x14ac:dyDescent="0.3">
      <c r="A79" s="33" t="s">
        <v>117</v>
      </c>
      <c r="B79" s="33"/>
      <c r="C79" s="29"/>
      <c r="D79" s="127">
        <v>12</v>
      </c>
      <c r="E79" s="65">
        <f>D79*parameters!C3/12</f>
        <v>2837</v>
      </c>
      <c r="F79" s="29"/>
      <c r="G79" s="29"/>
      <c r="H79" s="88"/>
    </row>
    <row r="80" spans="1:9" ht="15.75" customHeight="1" x14ac:dyDescent="0.3">
      <c r="A80" s="33" t="s">
        <v>118</v>
      </c>
      <c r="B80" s="33"/>
      <c r="C80" s="29"/>
      <c r="D80" s="32"/>
      <c r="E80" s="66"/>
      <c r="F80" s="29"/>
      <c r="G80" s="29"/>
      <c r="H80" s="88"/>
    </row>
    <row r="81" spans="1:8" ht="15.75" customHeight="1" x14ac:dyDescent="0.3">
      <c r="A81" s="27">
        <v>1</v>
      </c>
      <c r="B81" s="33" t="s">
        <v>44</v>
      </c>
      <c r="C81" s="29"/>
      <c r="D81" s="127">
        <v>0</v>
      </c>
      <c r="E81" s="65">
        <f>IF(D81=0,0,(D81/D82)*parameters!C3/12)</f>
        <v>0</v>
      </c>
      <c r="F81" s="29"/>
      <c r="G81" s="29"/>
      <c r="H81" s="88"/>
    </row>
    <row r="82" spans="1:8" ht="15.75" customHeight="1" thickBot="1" x14ac:dyDescent="0.35">
      <c r="A82" s="33"/>
      <c r="B82" s="33" t="s">
        <v>4</v>
      </c>
      <c r="C82" s="29"/>
      <c r="D82" s="128">
        <v>0</v>
      </c>
      <c r="E82" s="66"/>
      <c r="F82" s="29"/>
      <c r="G82" s="29"/>
      <c r="H82" s="88"/>
    </row>
    <row r="83" spans="1:8" ht="15.75" customHeight="1" thickTop="1" x14ac:dyDescent="0.3">
      <c r="A83" s="27">
        <v>2</v>
      </c>
      <c r="B83" s="33" t="s">
        <v>44</v>
      </c>
      <c r="C83" s="29"/>
      <c r="D83" s="129">
        <v>0</v>
      </c>
      <c r="E83" s="65">
        <f>IF(D83=0,0,(D83/D84)*parameters!C3/12)</f>
        <v>0</v>
      </c>
      <c r="F83" s="29"/>
      <c r="G83" s="29"/>
      <c r="H83" s="88"/>
    </row>
    <row r="84" spans="1:8" ht="15.75" customHeight="1" x14ac:dyDescent="0.3">
      <c r="A84" s="33"/>
      <c r="B84" s="33" t="s">
        <v>4</v>
      </c>
      <c r="C84" s="29"/>
      <c r="D84" s="127">
        <v>0</v>
      </c>
      <c r="E84" s="66"/>
      <c r="F84" s="29"/>
      <c r="G84" s="29"/>
      <c r="H84" s="88"/>
    </row>
    <row r="85" spans="1:8" ht="15.75" customHeight="1" x14ac:dyDescent="0.3">
      <c r="A85" s="33"/>
      <c r="B85" s="33"/>
      <c r="C85" s="29"/>
      <c r="D85" s="29"/>
      <c r="E85" s="29"/>
      <c r="F85" s="29"/>
      <c r="G85" s="29"/>
      <c r="H85" s="88"/>
    </row>
    <row r="86" spans="1:8" ht="15.75" customHeight="1" x14ac:dyDescent="0.3">
      <c r="A86" s="33" t="s">
        <v>109</v>
      </c>
      <c r="B86" s="33"/>
      <c r="C86" s="29"/>
      <c r="D86" s="29"/>
      <c r="E86" s="29"/>
      <c r="F86" s="36">
        <f>IF((E79+E81+E83)&lt;=parameters!C3,(E79+E81+E83),parameters!C3)</f>
        <v>2837</v>
      </c>
      <c r="G86" s="27" t="s">
        <v>5</v>
      </c>
      <c r="H86" s="88"/>
    </row>
    <row r="87" spans="1:8" ht="15.75" customHeight="1" x14ac:dyDescent="0.3">
      <c r="A87" s="33"/>
      <c r="B87" s="33"/>
      <c r="C87" s="29"/>
      <c r="D87" s="29"/>
      <c r="E87" s="29"/>
      <c r="F87" s="36"/>
      <c r="G87" s="27"/>
      <c r="H87" s="88"/>
    </row>
    <row r="88" spans="1:8" ht="15.75" customHeight="1" x14ac:dyDescent="0.3">
      <c r="A88" s="33"/>
      <c r="B88" s="61" t="s">
        <v>138</v>
      </c>
      <c r="C88" s="29"/>
      <c r="D88" s="29"/>
      <c r="E88" s="29"/>
      <c r="F88" s="36"/>
      <c r="G88" s="27"/>
      <c r="H88" s="88"/>
    </row>
    <row r="89" spans="1:8" ht="15.75" customHeight="1" x14ac:dyDescent="0.3">
      <c r="A89" s="33"/>
      <c r="B89" s="33"/>
      <c r="C89" s="29"/>
      <c r="D89" s="29"/>
      <c r="E89" s="29"/>
      <c r="F89" s="36"/>
      <c r="G89" s="27"/>
      <c r="H89" s="88"/>
    </row>
    <row r="90" spans="1:8" ht="15.75" customHeight="1" x14ac:dyDescent="0.3">
      <c r="A90" s="33"/>
      <c r="B90" s="33"/>
      <c r="C90" s="29"/>
      <c r="D90" s="29"/>
      <c r="E90" s="29"/>
      <c r="F90" s="36"/>
      <c r="G90" s="27"/>
      <c r="H90" s="88"/>
    </row>
    <row r="91" spans="1:8" ht="15.75" customHeight="1" x14ac:dyDescent="0.3">
      <c r="A91" s="33"/>
      <c r="C91" s="29"/>
      <c r="D91" s="29"/>
      <c r="E91" s="29"/>
      <c r="F91" s="36"/>
      <c r="G91" s="27"/>
      <c r="H91" s="88"/>
    </row>
    <row r="92" spans="1:8" ht="15.75" customHeight="1" x14ac:dyDescent="0.3">
      <c r="A92" s="33"/>
      <c r="B92" s="61"/>
      <c r="C92" s="29"/>
      <c r="D92" s="29"/>
      <c r="E92" s="29"/>
      <c r="F92" s="36"/>
      <c r="G92" s="27"/>
      <c r="H92" s="88"/>
    </row>
    <row r="93" spans="1:8" ht="15.75" customHeight="1" x14ac:dyDescent="0.3">
      <c r="A93" s="33"/>
      <c r="B93" s="61"/>
      <c r="C93" s="29"/>
      <c r="D93" s="29"/>
      <c r="E93" s="29"/>
      <c r="F93" s="36"/>
      <c r="G93" s="27"/>
      <c r="H93" s="88"/>
    </row>
    <row r="94" spans="1:8" ht="15.75" customHeight="1" x14ac:dyDescent="0.3">
      <c r="A94" s="33"/>
      <c r="B94" s="61"/>
      <c r="C94" s="29"/>
      <c r="D94" s="29"/>
      <c r="E94" s="29"/>
      <c r="F94" s="36"/>
      <c r="G94" s="27"/>
      <c r="H94" s="88"/>
    </row>
    <row r="95" spans="1:8" ht="15.75" customHeight="1" x14ac:dyDescent="0.3">
      <c r="A95" s="33"/>
      <c r="B95" s="33"/>
      <c r="C95" s="29"/>
      <c r="D95" s="29"/>
      <c r="E95" s="29"/>
      <c r="F95" s="36"/>
      <c r="G95" s="27"/>
      <c r="H95" s="88"/>
    </row>
    <row r="96" spans="1:8" ht="15.75" customHeight="1" x14ac:dyDescent="0.3">
      <c r="A96" s="33"/>
      <c r="B96" s="33"/>
      <c r="C96" s="29"/>
      <c r="D96" s="29"/>
      <c r="E96" s="29"/>
      <c r="F96" s="36"/>
      <c r="G96" s="27"/>
      <c r="H96" s="88"/>
    </row>
    <row r="97" spans="1:8" ht="15.75" customHeight="1" x14ac:dyDescent="0.3">
      <c r="A97" s="33"/>
      <c r="B97" s="33"/>
      <c r="C97" s="29"/>
      <c r="D97" s="29"/>
      <c r="E97" s="29"/>
      <c r="F97" s="29"/>
      <c r="G97" s="29"/>
      <c r="H97" s="88"/>
    </row>
    <row r="98" spans="1:8" ht="15.75" customHeight="1" x14ac:dyDescent="0.3">
      <c r="A98" s="27" t="s">
        <v>148</v>
      </c>
      <c r="B98" s="33"/>
      <c r="C98" s="29"/>
      <c r="D98" s="29"/>
      <c r="E98" s="29"/>
      <c r="F98" s="29"/>
      <c r="G98" s="29"/>
      <c r="H98" s="88"/>
    </row>
    <row r="99" spans="1:8" ht="15.75" customHeight="1" x14ac:dyDescent="0.3">
      <c r="A99" s="33"/>
      <c r="B99" s="33"/>
      <c r="C99" s="29"/>
      <c r="D99" s="29"/>
      <c r="E99" s="29"/>
      <c r="F99" s="29"/>
      <c r="G99" s="29"/>
      <c r="H99" s="88"/>
    </row>
    <row r="100" spans="1:8" ht="15.75" customHeight="1" x14ac:dyDescent="0.3">
      <c r="A100" s="33" t="s">
        <v>85</v>
      </c>
      <c r="B100" s="33"/>
      <c r="C100" s="29"/>
      <c r="D100" s="29"/>
      <c r="E100" s="29"/>
      <c r="F100" s="29"/>
      <c r="G100" s="29"/>
      <c r="H100" s="88"/>
    </row>
    <row r="101" spans="1:8" ht="15.75" customHeight="1" x14ac:dyDescent="0.3">
      <c r="A101" s="33" t="s">
        <v>45</v>
      </c>
      <c r="B101" s="33"/>
      <c r="C101" s="29"/>
      <c r="D101" s="29"/>
      <c r="E101" s="29"/>
      <c r="F101" s="304">
        <f>'ber. elders gebr. Ahk Vordering'!G33</f>
        <v>0</v>
      </c>
      <c r="G101" s="33"/>
      <c r="H101" s="88"/>
    </row>
    <row r="102" spans="1:8" ht="15.75" customHeight="1" x14ac:dyDescent="0.3">
      <c r="A102" s="106" t="s">
        <v>119</v>
      </c>
      <c r="B102" s="106"/>
      <c r="C102" s="106"/>
      <c r="D102" s="106"/>
      <c r="E102" s="29"/>
      <c r="G102" s="33"/>
      <c r="H102" s="88"/>
    </row>
    <row r="103" spans="1:8" ht="16.5" customHeight="1" x14ac:dyDescent="0.3">
      <c r="A103" s="106" t="s">
        <v>137</v>
      </c>
      <c r="B103" s="106"/>
      <c r="C103" s="106"/>
      <c r="D103" s="106"/>
      <c r="E103" s="29"/>
      <c r="F103" s="305">
        <f>'Elders gebr. Ahk vord dir brut '!G33</f>
        <v>0</v>
      </c>
      <c r="G103" s="29"/>
      <c r="H103" s="88"/>
    </row>
    <row r="104" spans="1:8" ht="15.75" customHeight="1" x14ac:dyDescent="0.3">
      <c r="A104" s="33" t="s">
        <v>46</v>
      </c>
      <c r="B104" s="33"/>
      <c r="C104" s="29"/>
      <c r="D104" s="29"/>
      <c r="E104" s="29"/>
      <c r="F104" s="71">
        <f>F101+F103</f>
        <v>0</v>
      </c>
      <c r="G104" s="27" t="s">
        <v>6</v>
      </c>
      <c r="H104" s="88"/>
    </row>
    <row r="105" spans="1:8" ht="15.75" customHeight="1" x14ac:dyDescent="0.3">
      <c r="A105" s="33"/>
      <c r="B105" s="33"/>
      <c r="C105" s="29"/>
      <c r="D105" s="29"/>
      <c r="E105" s="29"/>
      <c r="F105" s="71"/>
      <c r="G105" s="29"/>
      <c r="H105" s="88"/>
    </row>
    <row r="106" spans="1:8" ht="15.75" customHeight="1" x14ac:dyDescent="0.3">
      <c r="A106" s="27" t="s">
        <v>86</v>
      </c>
      <c r="B106" s="33"/>
      <c r="C106" s="29"/>
      <c r="D106" s="29"/>
      <c r="E106" s="29"/>
      <c r="F106" s="89">
        <f>IF(F86-F104&lt;=0,0,F86-F104)</f>
        <v>2837</v>
      </c>
      <c r="G106" s="27" t="s">
        <v>7</v>
      </c>
      <c r="H106" s="88"/>
    </row>
    <row r="107" spans="1:8" ht="15.75" customHeight="1" x14ac:dyDescent="0.3">
      <c r="A107" s="29" t="s">
        <v>120</v>
      </c>
      <c r="B107" s="29"/>
      <c r="C107" s="29"/>
      <c r="D107" s="29"/>
      <c r="E107" s="29"/>
      <c r="F107" s="39">
        <f>IF(F86-F104&lt;=0,0,IF(F86-F104&gt;=F75*parameters!C6,F75*parameters!C6,F86-F104))</f>
        <v>0</v>
      </c>
      <c r="G107" s="29" t="s">
        <v>9</v>
      </c>
      <c r="H107" s="88"/>
    </row>
    <row r="108" spans="1:8" ht="15.75" customHeight="1" x14ac:dyDescent="0.3">
      <c r="A108" s="90"/>
      <c r="B108" s="90"/>
      <c r="C108" s="31"/>
      <c r="D108" s="31"/>
      <c r="E108" s="31"/>
      <c r="F108" s="91"/>
      <c r="G108" s="31"/>
      <c r="H108" s="92"/>
    </row>
    <row r="109" spans="1:8" ht="15.75" customHeight="1" x14ac:dyDescent="0.3">
      <c r="A109" s="27" t="s">
        <v>87</v>
      </c>
      <c r="B109" s="33"/>
      <c r="C109" s="29"/>
      <c r="D109" s="29"/>
      <c r="E109" s="29"/>
      <c r="F109" s="29"/>
      <c r="G109" s="29"/>
      <c r="H109" s="88"/>
    </row>
    <row r="110" spans="1:8" ht="15.75" customHeight="1" x14ac:dyDescent="0.3">
      <c r="A110" s="33"/>
      <c r="B110" s="33"/>
      <c r="C110" s="29"/>
      <c r="D110" s="29"/>
      <c r="E110" s="29"/>
      <c r="F110" s="29"/>
      <c r="G110" s="29"/>
      <c r="H110" s="88"/>
    </row>
    <row r="111" spans="1:8" ht="15.75" customHeight="1" x14ac:dyDescent="0.3">
      <c r="A111" s="33" t="s">
        <v>88</v>
      </c>
      <c r="B111" s="33"/>
      <c r="C111" s="29"/>
      <c r="D111" s="29"/>
      <c r="E111" s="29"/>
      <c r="F111" s="39">
        <f>F75</f>
        <v>0</v>
      </c>
      <c r="G111" s="29"/>
      <c r="H111" s="88"/>
    </row>
    <row r="112" spans="1:8" ht="15.75" customHeight="1" thickBot="1" x14ac:dyDescent="0.35">
      <c r="A112" s="33" t="s">
        <v>89</v>
      </c>
      <c r="B112" s="33"/>
      <c r="C112" s="29"/>
      <c r="D112" s="29"/>
      <c r="E112" s="29"/>
      <c r="F112" s="40">
        <f>F106</f>
        <v>2837</v>
      </c>
      <c r="G112" s="27" t="s">
        <v>7</v>
      </c>
      <c r="H112" s="88"/>
    </row>
    <row r="113" spans="1:8" ht="15.75" customHeight="1" thickTop="1" x14ac:dyDescent="0.3">
      <c r="A113" s="33" t="s">
        <v>90</v>
      </c>
      <c r="B113" s="33"/>
      <c r="C113" s="29"/>
      <c r="D113" s="29"/>
      <c r="E113" s="29"/>
      <c r="F113" s="39">
        <f>IF(F111-F112&lt;=0,0,F111-F112)</f>
        <v>0</v>
      </c>
      <c r="G113" s="29"/>
      <c r="H113" s="88"/>
    </row>
    <row r="114" spans="1:8" ht="15.75" customHeight="1" x14ac:dyDescent="0.3">
      <c r="A114" s="33"/>
      <c r="B114" s="33"/>
      <c r="C114" s="29"/>
      <c r="D114" s="29"/>
      <c r="E114" s="29"/>
      <c r="F114" s="29"/>
      <c r="G114" s="29"/>
      <c r="H114" s="88"/>
    </row>
    <row r="115" spans="1:8" ht="15.75" customHeight="1" x14ac:dyDescent="0.3">
      <c r="A115" s="33" t="s">
        <v>91</v>
      </c>
      <c r="B115" s="33"/>
      <c r="C115" s="29"/>
      <c r="D115" s="39">
        <f>F113</f>
        <v>0</v>
      </c>
      <c r="E115" s="29" t="str">
        <f>parameters!$F$12</f>
        <v>x 58,98% (E)</v>
      </c>
      <c r="F115" s="39">
        <f>F113*parameters!$C$12</f>
        <v>0</v>
      </c>
      <c r="G115" s="29"/>
      <c r="H115" s="88"/>
    </row>
    <row r="116" spans="1:8" ht="15.75" customHeight="1" thickBot="1" x14ac:dyDescent="0.35">
      <c r="A116" s="33" t="s">
        <v>92</v>
      </c>
      <c r="B116" s="33"/>
      <c r="C116" s="29"/>
      <c r="D116" s="29"/>
      <c r="E116" s="29"/>
      <c r="F116" s="40">
        <f>F112</f>
        <v>2837</v>
      </c>
      <c r="G116" s="29"/>
      <c r="H116" s="88"/>
    </row>
    <row r="117" spans="1:8" ht="15.75" customHeight="1" thickTop="1" x14ac:dyDescent="0.3">
      <c r="A117" s="93" t="s">
        <v>38</v>
      </c>
      <c r="B117" s="33"/>
      <c r="C117" s="29"/>
      <c r="D117" s="29"/>
      <c r="E117" s="29"/>
      <c r="F117" s="36">
        <f>IF(F115-F116&lt;=0,0,F115-F116)</f>
        <v>0</v>
      </c>
      <c r="G117" s="29"/>
      <c r="H117" s="88"/>
    </row>
    <row r="118" spans="1:8" ht="15.75" customHeight="1" x14ac:dyDescent="0.3">
      <c r="A118" s="33"/>
      <c r="B118" s="33"/>
      <c r="C118" s="29"/>
      <c r="D118" s="29"/>
      <c r="E118" s="29"/>
      <c r="F118" s="29"/>
      <c r="G118" s="29"/>
      <c r="H118" s="88"/>
    </row>
    <row r="119" spans="1:8" ht="15.75" customHeight="1" x14ac:dyDescent="0.3">
      <c r="A119" s="42" t="s">
        <v>93</v>
      </c>
      <c r="B119" s="43"/>
      <c r="C119" s="43"/>
      <c r="D119" s="43"/>
      <c r="E119" s="43"/>
      <c r="F119" s="44"/>
      <c r="G119" s="29"/>
      <c r="H119" s="8"/>
    </row>
    <row r="120" spans="1:8" ht="15.75" customHeight="1" x14ac:dyDescent="0.3">
      <c r="A120" s="45"/>
      <c r="B120" s="46" t="s">
        <v>112</v>
      </c>
      <c r="C120" s="46"/>
      <c r="D120" s="47">
        <f>VLOOKUP(JAAR!$F$15,Percentages!$A$4:$G$35,7)</f>
        <v>58311</v>
      </c>
      <c r="E120" s="47">
        <f>D120/12</f>
        <v>4859.25</v>
      </c>
      <c r="F120" s="48"/>
      <c r="G120" s="37" t="s">
        <v>33</v>
      </c>
      <c r="H120" s="8"/>
    </row>
    <row r="121" spans="1:8" ht="15.75" customHeight="1" x14ac:dyDescent="0.3">
      <c r="A121" s="45" t="s">
        <v>88</v>
      </c>
      <c r="B121" s="46"/>
      <c r="C121" s="49"/>
      <c r="D121" s="49"/>
      <c r="E121" s="49"/>
      <c r="F121" s="50">
        <f>F111</f>
        <v>0</v>
      </c>
      <c r="G121" s="29"/>
      <c r="H121" s="8"/>
    </row>
    <row r="122" spans="1:8" ht="15.75" customHeight="1" thickBot="1" x14ac:dyDescent="0.35">
      <c r="A122" s="45" t="s">
        <v>94</v>
      </c>
      <c r="B122" s="46"/>
      <c r="C122" s="49"/>
      <c r="D122" s="49"/>
      <c r="E122" s="49"/>
      <c r="F122" s="51">
        <f>F117</f>
        <v>0</v>
      </c>
      <c r="G122" s="29"/>
      <c r="H122" s="8"/>
    </row>
    <row r="123" spans="1:8" ht="15.75" customHeight="1" thickTop="1" x14ac:dyDescent="0.3">
      <c r="A123" s="45" t="s">
        <v>95</v>
      </c>
      <c r="B123" s="46"/>
      <c r="C123" s="49"/>
      <c r="D123" s="49"/>
      <c r="E123" s="49"/>
      <c r="F123" s="50">
        <f>SUM(F121:F122)</f>
        <v>0</v>
      </c>
      <c r="G123" s="29"/>
      <c r="H123" s="8"/>
    </row>
    <row r="124" spans="1:8" ht="15.75" customHeight="1" x14ac:dyDescent="0.3">
      <c r="A124" s="52" t="s">
        <v>96</v>
      </c>
      <c r="B124" s="46"/>
      <c r="C124" s="53">
        <f>D79*E120</f>
        <v>58311</v>
      </c>
      <c r="D124" s="54">
        <f>IF(D81=0,0,(D81/D82)*D120/12)</f>
        <v>0</v>
      </c>
      <c r="E124" s="54">
        <f>IF(D83=0,0,(D83/D84)*D120/12)</f>
        <v>0</v>
      </c>
      <c r="F124" s="50">
        <f>IF((C124+D124+E124)&gt;F123,F123,IF(C124+D124+E124&gt;D120,D120,(C124+D124+E124)))</f>
        <v>0</v>
      </c>
      <c r="G124" s="29"/>
      <c r="H124" s="8"/>
    </row>
    <row r="125" spans="1:8" ht="15.75" customHeight="1" x14ac:dyDescent="0.3">
      <c r="A125" s="52"/>
      <c r="B125" s="46"/>
      <c r="C125" s="47"/>
      <c r="D125" s="55"/>
      <c r="E125" s="55"/>
      <c r="F125" s="50"/>
      <c r="G125" s="29"/>
      <c r="H125" s="8"/>
    </row>
    <row r="126" spans="1:8" ht="15.75" customHeight="1" x14ac:dyDescent="0.3">
      <c r="A126" s="56" t="s">
        <v>97</v>
      </c>
      <c r="B126" s="57"/>
      <c r="C126" s="58"/>
      <c r="D126" s="64" t="str">
        <f>parameters!$F$17</f>
        <v>7% x (H)</v>
      </c>
      <c r="E126" s="59">
        <f>IF((F124&lt;F123),F124,F123)</f>
        <v>0</v>
      </c>
      <c r="F126" s="60">
        <f>FLOOR(F124*parameters!$C$17,2)</f>
        <v>0</v>
      </c>
      <c r="G126" s="29"/>
      <c r="H126" s="8"/>
    </row>
    <row r="127" spans="1:8" ht="15.75" customHeight="1" x14ac:dyDescent="0.3">
      <c r="A127" s="90"/>
      <c r="B127" s="90"/>
      <c r="C127" s="31"/>
      <c r="D127" s="31"/>
      <c r="E127" s="72"/>
      <c r="F127" s="31"/>
      <c r="G127" s="31"/>
      <c r="H127" s="88"/>
    </row>
    <row r="128" spans="1:8" ht="15.75" customHeight="1" x14ac:dyDescent="0.3">
      <c r="A128" s="87"/>
      <c r="B128" s="87"/>
      <c r="C128" s="63"/>
      <c r="D128" s="63"/>
      <c r="E128" s="73"/>
      <c r="F128" s="63"/>
      <c r="G128" s="63"/>
      <c r="H128" s="8"/>
    </row>
    <row r="129" spans="1:8" ht="15.75" customHeight="1" x14ac:dyDescent="0.3">
      <c r="A129" s="27" t="s">
        <v>121</v>
      </c>
      <c r="B129" s="33"/>
      <c r="C129" s="29"/>
      <c r="D129" s="29"/>
      <c r="E129" s="29"/>
      <c r="F129" s="29"/>
      <c r="G129" s="29"/>
      <c r="H129" s="8"/>
    </row>
    <row r="130" spans="1:8" ht="15.75" customHeight="1" x14ac:dyDescent="0.3">
      <c r="A130" s="33"/>
      <c r="B130" s="33"/>
      <c r="C130" s="29"/>
      <c r="D130" s="29"/>
      <c r="E130" s="29"/>
      <c r="F130" s="29"/>
      <c r="G130" s="29"/>
      <c r="H130" s="8"/>
    </row>
    <row r="131" spans="1:8" ht="15.75" customHeight="1" x14ac:dyDescent="0.3">
      <c r="A131" s="33" t="s">
        <v>88</v>
      </c>
      <c r="B131" s="33"/>
      <c r="C131" s="29"/>
      <c r="D131" s="29"/>
      <c r="E131" s="39">
        <f>F73</f>
        <v>0</v>
      </c>
      <c r="F131" s="29"/>
      <c r="G131" s="29"/>
      <c r="H131" s="8"/>
    </row>
    <row r="132" spans="1:8" ht="15.75" customHeight="1" x14ac:dyDescent="0.3">
      <c r="A132" s="33" t="s">
        <v>99</v>
      </c>
      <c r="B132" s="33"/>
      <c r="C132" s="29"/>
      <c r="D132" s="29"/>
      <c r="E132" s="39">
        <f>F74</f>
        <v>0</v>
      </c>
      <c r="F132" s="29"/>
      <c r="G132" s="29"/>
      <c r="H132" s="8"/>
    </row>
    <row r="133" spans="1:8" ht="15.75" customHeight="1" thickBot="1" x14ac:dyDescent="0.35">
      <c r="A133" s="33" t="s">
        <v>100</v>
      </c>
      <c r="B133" s="33"/>
      <c r="C133" s="29"/>
      <c r="D133" s="29"/>
      <c r="E133" s="40">
        <f>IF(F117&lt;0.1,0,F117)</f>
        <v>0</v>
      </c>
      <c r="F133" s="29"/>
      <c r="G133" s="29"/>
      <c r="H133" s="8"/>
    </row>
    <row r="134" spans="1:8" ht="15.75" customHeight="1" thickTop="1" x14ac:dyDescent="0.3">
      <c r="A134" s="33" t="s">
        <v>101</v>
      </c>
      <c r="B134" s="33"/>
      <c r="C134" s="29"/>
      <c r="D134" s="29"/>
      <c r="E134" s="39">
        <f>SUM(E131:E133)</f>
        <v>0</v>
      </c>
      <c r="F134" s="29"/>
      <c r="G134" s="29"/>
      <c r="H134" s="8"/>
    </row>
    <row r="135" spans="1:8" ht="15.75" customHeight="1" x14ac:dyDescent="0.3">
      <c r="A135" s="33"/>
      <c r="B135" s="33"/>
      <c r="C135" s="29"/>
      <c r="D135" s="29"/>
      <c r="E135" s="39"/>
      <c r="F135" s="29"/>
      <c r="G135" s="29"/>
      <c r="H135" s="8"/>
    </row>
    <row r="136" spans="1:8" ht="15.75" customHeight="1" x14ac:dyDescent="0.3">
      <c r="A136" s="77" t="s">
        <v>97</v>
      </c>
      <c r="B136" s="78"/>
      <c r="C136" s="78"/>
      <c r="D136" s="79">
        <f>F126</f>
        <v>0</v>
      </c>
      <c r="E136" s="39"/>
      <c r="F136" s="29"/>
      <c r="G136" s="29"/>
      <c r="H136" s="8"/>
    </row>
    <row r="137" spans="1:8" ht="15.75" customHeight="1" x14ac:dyDescent="0.3">
      <c r="F137" s="29"/>
      <c r="G137" s="29"/>
      <c r="H137" s="8"/>
    </row>
    <row r="138" spans="1:8" ht="15.75" customHeight="1" x14ac:dyDescent="0.3">
      <c r="F138" s="29"/>
      <c r="G138" s="29"/>
      <c r="H138" s="8"/>
    </row>
    <row r="139" spans="1:8" ht="15.75" customHeight="1" x14ac:dyDescent="0.3">
      <c r="F139" s="29"/>
      <c r="G139" s="29"/>
      <c r="H139" s="8"/>
    </row>
    <row r="140" spans="1:8" ht="15.75" customHeight="1" x14ac:dyDescent="0.3">
      <c r="F140" s="29"/>
      <c r="G140" s="29"/>
      <c r="H140" s="8"/>
    </row>
    <row r="141" spans="1:8" ht="15.75" customHeight="1" x14ac:dyDescent="0.3">
      <c r="F141" s="29"/>
      <c r="G141" s="29"/>
      <c r="H141" s="8"/>
    </row>
    <row r="142" spans="1:8" ht="15.75" customHeight="1" x14ac:dyDescent="0.3">
      <c r="B142" s="61" t="s">
        <v>147</v>
      </c>
      <c r="F142" s="29"/>
      <c r="G142" s="29"/>
      <c r="H142" s="8"/>
    </row>
    <row r="143" spans="1:8" ht="15.75" customHeight="1" x14ac:dyDescent="0.3">
      <c r="F143" s="29"/>
      <c r="G143" s="29"/>
      <c r="H143" s="8"/>
    </row>
    <row r="144" spans="1:8" ht="26.25" customHeight="1" x14ac:dyDescent="0.3">
      <c r="A144" s="33"/>
      <c r="B144" s="33"/>
      <c r="C144" s="29"/>
      <c r="D144" s="29"/>
      <c r="E144" s="29"/>
      <c r="F144" s="29"/>
      <c r="G144" s="29"/>
      <c r="H144" s="8"/>
    </row>
    <row r="145" spans="1:8" ht="15.75" customHeight="1" x14ac:dyDescent="0.3">
      <c r="A145" s="308" t="s">
        <v>36</v>
      </c>
      <c r="B145" s="308"/>
      <c r="C145" s="308"/>
      <c r="D145" s="308"/>
      <c r="E145" s="309"/>
      <c r="F145" s="94"/>
      <c r="G145" s="63"/>
      <c r="H145" s="4"/>
    </row>
    <row r="146" spans="1:8" ht="15.75" customHeight="1" x14ac:dyDescent="0.3">
      <c r="A146" s="310"/>
      <c r="B146" s="310"/>
      <c r="C146" s="310"/>
      <c r="D146" s="310"/>
      <c r="E146" s="311"/>
      <c r="F146" s="33"/>
      <c r="G146" s="29"/>
      <c r="H146" s="8"/>
    </row>
    <row r="147" spans="1:8" ht="15.75" customHeight="1" x14ac:dyDescent="0.3">
      <c r="A147" s="310"/>
      <c r="B147" s="310" t="s">
        <v>37</v>
      </c>
      <c r="C147" s="310"/>
      <c r="D147" s="311">
        <f>F61-F73</f>
        <v>0</v>
      </c>
      <c r="E147" s="311"/>
      <c r="F147" s="36"/>
      <c r="G147" s="29"/>
      <c r="H147" s="8"/>
    </row>
    <row r="148" spans="1:8" ht="15.75" customHeight="1" x14ac:dyDescent="0.3">
      <c r="A148" s="310"/>
      <c r="B148" s="310"/>
      <c r="C148" s="310"/>
      <c r="D148" s="310"/>
      <c r="E148" s="311"/>
      <c r="F148" s="33"/>
      <c r="G148" s="29"/>
      <c r="H148" s="8"/>
    </row>
    <row r="149" spans="1:8" ht="15.75" customHeight="1" x14ac:dyDescent="0.3">
      <c r="A149" s="310"/>
      <c r="B149" s="312" t="s">
        <v>97</v>
      </c>
      <c r="C149" s="312"/>
      <c r="D149" s="312"/>
      <c r="E149" s="313">
        <f>F57-F126</f>
        <v>0</v>
      </c>
      <c r="F149" s="36"/>
      <c r="G149" s="33"/>
      <c r="H149" s="8"/>
    </row>
    <row r="150" spans="1:8" ht="15.75" customHeight="1" thickBot="1" x14ac:dyDescent="0.35">
      <c r="A150" s="310"/>
      <c r="B150" s="310" t="s">
        <v>38</v>
      </c>
      <c r="C150" s="310"/>
      <c r="D150" s="314">
        <f>F63-E133</f>
        <v>0</v>
      </c>
      <c r="E150" s="311"/>
      <c r="F150" s="95"/>
      <c r="G150" s="33"/>
      <c r="H150" s="8"/>
    </row>
    <row r="151" spans="1:8" ht="15.75" customHeight="1" thickTop="1" x14ac:dyDescent="0.3">
      <c r="A151" s="306"/>
      <c r="B151" s="306" t="s">
        <v>39</v>
      </c>
      <c r="C151" s="306"/>
      <c r="D151" s="307">
        <f>SUM(D147:D150)</f>
        <v>0</v>
      </c>
      <c r="E151" s="307"/>
      <c r="F151" s="95"/>
      <c r="G151" s="33"/>
      <c r="H151" s="8"/>
    </row>
    <row r="152" spans="1:8" ht="15.75" customHeight="1" x14ac:dyDescent="0.3">
      <c r="A152" s="33"/>
      <c r="B152" s="33"/>
      <c r="C152" s="33"/>
      <c r="D152" s="33"/>
      <c r="E152" s="33"/>
      <c r="F152" s="33"/>
      <c r="G152" s="33"/>
      <c r="H152" s="8"/>
    </row>
    <row r="153" spans="1:8" ht="15.75" customHeight="1" x14ac:dyDescent="0.3">
      <c r="A153" s="33"/>
      <c r="B153" s="33"/>
      <c r="C153" s="33"/>
      <c r="D153" s="33"/>
      <c r="E153" s="33"/>
      <c r="F153" s="33"/>
      <c r="G153" s="33"/>
      <c r="H153" s="8"/>
    </row>
    <row r="154" spans="1:8" ht="15.6" x14ac:dyDescent="0.3">
      <c r="A154" s="33"/>
      <c r="B154" s="33"/>
      <c r="C154" s="33"/>
      <c r="D154" s="33"/>
      <c r="E154" s="33"/>
      <c r="F154" s="33"/>
      <c r="G154" s="33"/>
      <c r="H154" s="8"/>
    </row>
    <row r="155" spans="1:8" ht="15.6" x14ac:dyDescent="0.3">
      <c r="A155" s="33"/>
      <c r="B155" s="33"/>
      <c r="C155" s="33"/>
      <c r="D155" s="33"/>
      <c r="E155" s="33"/>
      <c r="F155" s="33"/>
      <c r="G155" s="33"/>
      <c r="H155" s="8"/>
    </row>
    <row r="156" spans="1:8" ht="15.6" x14ac:dyDescent="0.3">
      <c r="A156" s="33"/>
      <c r="B156" s="130" t="s">
        <v>104</v>
      </c>
      <c r="C156" s="131"/>
      <c r="D156" s="131"/>
      <c r="E156" s="131"/>
      <c r="F156" s="132"/>
      <c r="G156" s="33"/>
      <c r="H156" s="8"/>
    </row>
    <row r="157" spans="1:8" ht="15.6" x14ac:dyDescent="0.3">
      <c r="A157" s="33"/>
      <c r="B157" s="103"/>
      <c r="C157" s="104"/>
      <c r="D157" s="104"/>
      <c r="E157" s="104"/>
      <c r="F157" s="105"/>
      <c r="G157" s="33"/>
      <c r="H157" s="8"/>
    </row>
    <row r="158" spans="1:8" ht="15.6" x14ac:dyDescent="0.3">
      <c r="A158" s="33"/>
      <c r="B158" s="103"/>
      <c r="C158" s="104"/>
      <c r="D158" s="104"/>
      <c r="E158" s="104"/>
      <c r="F158" s="105"/>
      <c r="G158" s="33"/>
      <c r="H158" s="8"/>
    </row>
    <row r="159" spans="1:8" ht="15.6" x14ac:dyDescent="0.3">
      <c r="A159" s="33"/>
      <c r="B159" s="103"/>
      <c r="C159" s="104"/>
      <c r="D159" s="104"/>
      <c r="E159" s="104"/>
      <c r="F159" s="105"/>
      <c r="G159" s="33"/>
      <c r="H159" s="8"/>
    </row>
    <row r="160" spans="1:8" ht="15.6" x14ac:dyDescent="0.3">
      <c r="A160" s="33"/>
      <c r="B160" s="103"/>
      <c r="C160" s="104"/>
      <c r="D160" s="104"/>
      <c r="E160" s="104"/>
      <c r="F160" s="105"/>
      <c r="G160" s="33"/>
      <c r="H160" s="8"/>
    </row>
    <row r="161" spans="1:8" ht="15.6" x14ac:dyDescent="0.3">
      <c r="A161" s="33"/>
      <c r="B161" s="103"/>
      <c r="C161" s="104"/>
      <c r="D161" s="104"/>
      <c r="E161" s="104"/>
      <c r="F161" s="105"/>
      <c r="G161" s="33"/>
      <c r="H161" s="8"/>
    </row>
    <row r="162" spans="1:8" ht="15.6" x14ac:dyDescent="0.3">
      <c r="A162" s="33"/>
      <c r="B162" s="103"/>
      <c r="C162" s="104"/>
      <c r="D162" s="104"/>
      <c r="E162" s="104"/>
      <c r="F162" s="105"/>
      <c r="G162" s="33"/>
      <c r="H162" s="8"/>
    </row>
    <row r="163" spans="1:8" ht="15.6" x14ac:dyDescent="0.3">
      <c r="A163" s="33"/>
      <c r="B163" s="103"/>
      <c r="C163" s="104"/>
      <c r="D163" s="104"/>
      <c r="E163" s="104"/>
      <c r="F163" s="105"/>
      <c r="G163" s="33"/>
      <c r="H163" s="8"/>
    </row>
    <row r="164" spans="1:8" ht="15.6" x14ac:dyDescent="0.3">
      <c r="A164" s="33"/>
      <c r="B164" s="103"/>
      <c r="C164" s="104"/>
      <c r="D164" s="104"/>
      <c r="E164" s="104"/>
      <c r="F164" s="105"/>
      <c r="G164" s="33"/>
      <c r="H164" s="8"/>
    </row>
    <row r="165" spans="1:8" ht="15.6" x14ac:dyDescent="0.3">
      <c r="A165" s="33"/>
      <c r="B165" s="103"/>
      <c r="C165" s="104"/>
      <c r="D165" s="104"/>
      <c r="E165" s="104"/>
      <c r="F165" s="105"/>
      <c r="G165" s="33"/>
      <c r="H165" s="8"/>
    </row>
    <row r="166" spans="1:8" ht="15.6" x14ac:dyDescent="0.3">
      <c r="A166" s="33"/>
      <c r="B166" s="103"/>
      <c r="C166" s="104"/>
      <c r="D166" s="104"/>
      <c r="E166" s="104"/>
      <c r="F166" s="105"/>
      <c r="G166" s="33"/>
      <c r="H166" s="8"/>
    </row>
    <row r="167" spans="1:8" ht="15.6" x14ac:dyDescent="0.3">
      <c r="A167" s="33"/>
      <c r="B167" s="103"/>
      <c r="C167" s="104"/>
      <c r="D167" s="104"/>
      <c r="E167" s="104"/>
      <c r="F167" s="105"/>
      <c r="G167" s="33"/>
      <c r="H167" s="8"/>
    </row>
    <row r="168" spans="1:8" ht="15.6" x14ac:dyDescent="0.3">
      <c r="A168" s="33"/>
      <c r="B168" s="103"/>
      <c r="C168" s="104"/>
      <c r="D168" s="104"/>
      <c r="E168" s="104"/>
      <c r="F168" s="105"/>
      <c r="G168" s="33"/>
      <c r="H168" s="8"/>
    </row>
    <row r="169" spans="1:8" ht="15.6" x14ac:dyDescent="0.3">
      <c r="A169" s="33"/>
      <c r="B169" s="103"/>
      <c r="C169" s="104"/>
      <c r="D169" s="104"/>
      <c r="E169" s="104"/>
      <c r="F169" s="105"/>
      <c r="G169" s="33"/>
      <c r="H169" s="8"/>
    </row>
    <row r="170" spans="1:8" ht="15.6" x14ac:dyDescent="0.3">
      <c r="A170" s="33"/>
      <c r="B170" s="103"/>
      <c r="C170" s="104"/>
      <c r="D170" s="104"/>
      <c r="E170" s="104"/>
      <c r="F170" s="105"/>
      <c r="G170" s="33"/>
      <c r="H170" s="8"/>
    </row>
    <row r="171" spans="1:8" ht="15.6" x14ac:dyDescent="0.3">
      <c r="A171" s="33"/>
      <c r="B171" s="103"/>
      <c r="C171" s="104"/>
      <c r="D171" s="104"/>
      <c r="E171" s="104"/>
      <c r="F171" s="105"/>
      <c r="G171" s="33"/>
      <c r="H171" s="8"/>
    </row>
    <row r="172" spans="1:8" ht="15.6" x14ac:dyDescent="0.3">
      <c r="A172" s="33"/>
      <c r="B172" s="103"/>
      <c r="C172" s="104"/>
      <c r="D172" s="104"/>
      <c r="E172" s="104"/>
      <c r="F172" s="105"/>
      <c r="G172" s="33"/>
      <c r="H172" s="8"/>
    </row>
    <row r="173" spans="1:8" ht="15.6" x14ac:dyDescent="0.3">
      <c r="A173" s="33"/>
      <c r="B173" s="103"/>
      <c r="C173" s="104"/>
      <c r="D173" s="104"/>
      <c r="E173" s="104"/>
      <c r="F173" s="105"/>
      <c r="G173" s="33"/>
      <c r="H173" s="8"/>
    </row>
    <row r="174" spans="1:8" ht="15.6" x14ac:dyDescent="0.3">
      <c r="A174" s="33"/>
      <c r="B174" s="103"/>
      <c r="C174" s="104"/>
      <c r="D174" s="104"/>
      <c r="E174" s="104"/>
      <c r="F174" s="105"/>
      <c r="G174" s="33"/>
      <c r="H174" s="8"/>
    </row>
    <row r="175" spans="1:8" ht="15.6" x14ac:dyDescent="0.3">
      <c r="A175" s="33"/>
      <c r="B175" s="103"/>
      <c r="C175" s="104"/>
      <c r="D175" s="104"/>
      <c r="E175" s="104"/>
      <c r="F175" s="105"/>
      <c r="G175" s="33"/>
      <c r="H175" s="8"/>
    </row>
    <row r="176" spans="1:8" ht="15.6" x14ac:dyDescent="0.3">
      <c r="A176" s="33"/>
      <c r="B176" s="103"/>
      <c r="C176" s="104"/>
      <c r="D176" s="104"/>
      <c r="E176" s="104"/>
      <c r="F176" s="105"/>
      <c r="G176" s="33"/>
      <c r="H176" s="8"/>
    </row>
    <row r="177" spans="1:8" ht="15.6" x14ac:dyDescent="0.3">
      <c r="A177" s="33"/>
      <c r="B177" s="103"/>
      <c r="C177" s="104"/>
      <c r="D177" s="104"/>
      <c r="E177" s="104"/>
      <c r="F177" s="105"/>
      <c r="G177" s="33"/>
      <c r="H177" s="8"/>
    </row>
    <row r="178" spans="1:8" ht="15.6" x14ac:dyDescent="0.3">
      <c r="A178" s="33"/>
      <c r="B178" s="107"/>
      <c r="C178" s="108"/>
      <c r="D178" s="108"/>
      <c r="E178" s="108"/>
      <c r="F178" s="109"/>
      <c r="G178" s="33"/>
      <c r="H178" s="8"/>
    </row>
    <row r="179" spans="1:8" ht="15.6" x14ac:dyDescent="0.3">
      <c r="A179" s="33"/>
      <c r="B179" s="61" t="s">
        <v>138</v>
      </c>
      <c r="C179" s="87"/>
      <c r="D179" s="87"/>
      <c r="E179" s="87"/>
      <c r="F179" s="87"/>
      <c r="G179" s="33"/>
      <c r="H179" s="8"/>
    </row>
    <row r="180" spans="1:8" ht="15.6" x14ac:dyDescent="0.3">
      <c r="A180" s="33"/>
      <c r="B180" s="33"/>
      <c r="C180" s="33"/>
      <c r="D180" s="33"/>
      <c r="E180" s="33"/>
      <c r="F180" s="33"/>
      <c r="G180" s="33"/>
      <c r="H180" s="8"/>
    </row>
    <row r="181" spans="1:8" ht="15.6" x14ac:dyDescent="0.3">
      <c r="A181" s="33"/>
      <c r="B181" s="33"/>
      <c r="C181" s="33"/>
      <c r="D181" s="33"/>
      <c r="E181" s="33"/>
      <c r="F181" s="33"/>
      <c r="G181" s="33"/>
      <c r="H181" s="8"/>
    </row>
    <row r="182" spans="1:8" x14ac:dyDescent="0.3">
      <c r="A182" s="8"/>
      <c r="B182" s="8"/>
      <c r="C182" s="8"/>
      <c r="D182" s="8"/>
      <c r="E182" s="8"/>
      <c r="F182" s="8"/>
      <c r="G182" s="8"/>
      <c r="H182" s="8"/>
    </row>
    <row r="183" spans="1:8" x14ac:dyDescent="0.3">
      <c r="A183" s="8"/>
      <c r="B183" s="8"/>
      <c r="C183" s="8"/>
      <c r="D183" s="8"/>
      <c r="E183" s="8"/>
      <c r="F183" s="8"/>
      <c r="G183" s="8"/>
      <c r="H183" s="8"/>
    </row>
    <row r="184" spans="1:8" x14ac:dyDescent="0.3">
      <c r="A184" s="8"/>
      <c r="B184" s="8"/>
      <c r="C184" s="8"/>
      <c r="D184" s="8"/>
      <c r="E184" s="8"/>
      <c r="F184" s="8"/>
      <c r="G184" s="8"/>
      <c r="H184" s="8"/>
    </row>
    <row r="185" spans="1:8" x14ac:dyDescent="0.3">
      <c r="A185" s="8"/>
      <c r="B185" s="8"/>
      <c r="C185" s="8"/>
      <c r="D185" s="8"/>
      <c r="E185" s="8"/>
      <c r="F185" s="8"/>
      <c r="G185" s="8"/>
      <c r="H185" s="8"/>
    </row>
    <row r="186" spans="1:8" x14ac:dyDescent="0.3">
      <c r="A186" s="8"/>
      <c r="B186" s="8"/>
      <c r="C186" s="8"/>
      <c r="D186" s="8"/>
      <c r="E186" s="8"/>
      <c r="F186" s="8"/>
      <c r="G186" s="8"/>
      <c r="H186" s="8"/>
    </row>
    <row r="187" spans="1:8" x14ac:dyDescent="0.3">
      <c r="A187" s="8"/>
      <c r="B187" s="8"/>
      <c r="C187" s="8"/>
      <c r="D187" s="8"/>
      <c r="E187" s="8"/>
      <c r="F187" s="8"/>
      <c r="G187" s="8"/>
      <c r="H187" s="8"/>
    </row>
    <row r="188" spans="1:8" x14ac:dyDescent="0.3">
      <c r="A188" s="8"/>
      <c r="B188" s="8"/>
      <c r="C188" s="8"/>
      <c r="D188" s="8"/>
      <c r="E188" s="8"/>
      <c r="F188" s="8"/>
      <c r="G188" s="8"/>
      <c r="H188" s="8"/>
    </row>
    <row r="189" spans="1:8" x14ac:dyDescent="0.3">
      <c r="A189" s="8"/>
      <c r="B189" s="8"/>
      <c r="C189" s="8"/>
      <c r="D189" s="8"/>
      <c r="E189" s="8"/>
      <c r="F189" s="8"/>
      <c r="G189" s="8"/>
      <c r="H189" s="8"/>
    </row>
    <row r="190" spans="1:8" x14ac:dyDescent="0.3">
      <c r="A190" s="8"/>
      <c r="B190" s="8"/>
      <c r="C190" s="8"/>
      <c r="D190" s="8"/>
      <c r="E190" s="8"/>
      <c r="F190" s="8"/>
      <c r="G190" s="8"/>
      <c r="H190" s="8"/>
    </row>
    <row r="191" spans="1:8" x14ac:dyDescent="0.3">
      <c r="A191" s="8"/>
      <c r="B191" s="8"/>
      <c r="C191" s="8"/>
      <c r="D191" s="8"/>
      <c r="E191" s="8"/>
      <c r="F191" s="8"/>
      <c r="G191" s="8"/>
      <c r="H191" s="8"/>
    </row>
    <row r="192" spans="1:8" x14ac:dyDescent="0.3">
      <c r="A192" s="8"/>
      <c r="B192" s="8"/>
      <c r="C192" s="8"/>
      <c r="D192" s="8"/>
      <c r="E192" s="8"/>
      <c r="F192" s="8"/>
      <c r="G192" s="8"/>
      <c r="H192" s="8"/>
    </row>
    <row r="193" spans="1:8" x14ac:dyDescent="0.3">
      <c r="A193" s="8"/>
      <c r="B193" s="8"/>
      <c r="C193" s="8"/>
      <c r="D193" s="8"/>
      <c r="E193" s="8"/>
      <c r="F193" s="8"/>
      <c r="G193" s="8"/>
      <c r="H193" s="8"/>
    </row>
    <row r="194" spans="1:8" x14ac:dyDescent="0.3">
      <c r="A194" s="8"/>
      <c r="B194" s="8"/>
      <c r="C194" s="8"/>
      <c r="D194" s="8"/>
      <c r="E194" s="8"/>
      <c r="F194" s="8"/>
      <c r="G194" s="8"/>
      <c r="H194" s="8"/>
    </row>
    <row r="195" spans="1:8" x14ac:dyDescent="0.3">
      <c r="A195" s="8"/>
      <c r="B195" s="8"/>
      <c r="C195" s="8"/>
      <c r="D195" s="8"/>
      <c r="E195" s="8"/>
      <c r="F195" s="8"/>
      <c r="G195" s="8"/>
      <c r="H195" s="8"/>
    </row>
    <row r="196" spans="1:8" x14ac:dyDescent="0.3">
      <c r="A196" s="8"/>
      <c r="B196" s="8"/>
      <c r="C196" s="8"/>
      <c r="D196" s="8"/>
      <c r="E196" s="8"/>
      <c r="F196" s="8"/>
      <c r="G196" s="8"/>
      <c r="H196" s="8"/>
    </row>
  </sheetData>
  <sheetProtection algorithmName="SHA-512" hashValue="taFCdx4lNfi4ye/JfMKAITe1lYSMUZrNEJsHqe/czpgdPlrkJlVRuq1agsT5fZpr9uq3T79/aCYuy3eHhCrt0A==" saltValue="63Md4XUvoGZeCC6mwRkDTQ==" spinCount="100000" sheet="1" objects="1" scenarios="1"/>
  <mergeCells count="26">
    <mergeCell ref="B178:F178"/>
    <mergeCell ref="B167:F167"/>
    <mergeCell ref="B168:F168"/>
    <mergeCell ref="B169:F169"/>
    <mergeCell ref="B170:F170"/>
    <mergeCell ref="B171:F171"/>
    <mergeCell ref="B172:F172"/>
    <mergeCell ref="B173:F173"/>
    <mergeCell ref="B174:F174"/>
    <mergeCell ref="B175:F175"/>
    <mergeCell ref="B176:F176"/>
    <mergeCell ref="B177:F177"/>
    <mergeCell ref="B166:F166"/>
    <mergeCell ref="C4:E4"/>
    <mergeCell ref="C5:E5"/>
    <mergeCell ref="B158:F158"/>
    <mergeCell ref="B157:F157"/>
    <mergeCell ref="B159:F159"/>
    <mergeCell ref="B160:F160"/>
    <mergeCell ref="B161:F161"/>
    <mergeCell ref="B162:F162"/>
    <mergeCell ref="B163:F163"/>
    <mergeCell ref="B164:F164"/>
    <mergeCell ref="B165:F165"/>
    <mergeCell ref="A103:D103"/>
    <mergeCell ref="A102:D102"/>
  </mergeCells>
  <pageMargins left="0.7" right="0.7" top="0.75" bottom="0.75" header="0.3" footer="0.3"/>
  <pageSetup paperSize="9" orientation="portrait" horizontalDpi="4294967293"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2F3CCD1F26F664BA20980533B7A5F36" ma:contentTypeVersion="9" ma:contentTypeDescription="Een nieuw document maken." ma:contentTypeScope="" ma:versionID="d0d27dfa949facec173d1ed75ebf6d26">
  <xsd:schema xmlns:xsd="http://www.w3.org/2001/XMLSchema" xmlns:xs="http://www.w3.org/2001/XMLSchema" xmlns:p="http://schemas.microsoft.com/office/2006/metadata/properties" xmlns:ns2="77208d76-74ef-4048-b6b4-646fa5ac37f5" targetNamespace="http://schemas.microsoft.com/office/2006/metadata/properties" ma:root="true" ma:fieldsID="737b88072c8c88d202c53346c0b26e13" ns2:_="">
    <xsd:import namespace="77208d76-74ef-4048-b6b4-646fa5ac37f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208d76-74ef-4048-b6b4-646fa5ac37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CD3AD0-7541-4909-B155-D26CCA7B5E7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C7F72BA-FB7F-45CF-BE42-D537BDA5DC23}">
  <ds:schemaRefs>
    <ds:schemaRef ds:uri="http://schemas.microsoft.com/sharepoint/v3/contenttype/forms"/>
  </ds:schemaRefs>
</ds:datastoreItem>
</file>

<file path=customXml/itemProps3.xml><?xml version="1.0" encoding="utf-8"?>
<ds:datastoreItem xmlns:ds="http://schemas.openxmlformats.org/officeDocument/2006/customXml" ds:itemID="{85E64A9F-AE79-40B1-ADA4-07180B7977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208d76-74ef-4048-b6b4-646fa5ac37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JAAR</vt:lpstr>
      <vt:lpstr>ber. elders gebr. Ahk Jaaropg</vt:lpstr>
      <vt:lpstr>Jaaropgave pers. &lt; AOW leeftijd</vt:lpstr>
      <vt:lpstr>Berekeningen</vt:lpstr>
      <vt:lpstr>ber. elders gebr. Ahk Vordering</vt:lpstr>
      <vt:lpstr>Bruteren vordering</vt:lpstr>
      <vt:lpstr>Elders gebr. Ahk vord dir brut </vt:lpstr>
      <vt:lpstr>Percentages</vt:lpstr>
      <vt:lpstr>Vordering direct bruteren</vt:lpstr>
      <vt:lpstr>parameters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Jaap van Dalen</dc:creator>
  <cp:lastModifiedBy>Roberto Reali</cp:lastModifiedBy>
  <cp:lastPrinted>2019-08-01T12:49:23Z</cp:lastPrinted>
  <dcterms:created xsi:type="dcterms:W3CDTF">2012-11-25T13:52:05Z</dcterms:created>
  <dcterms:modified xsi:type="dcterms:W3CDTF">2021-06-10T06:47:29Z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0x01010082F3CCD1F26F664BA20980533B7A5F36</vt:lpwstr>
  </property>
</Properties>
</file>