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berekeningen/"/>
    </mc:Choice>
  </mc:AlternateContent>
  <xr:revisionPtr revIDLastSave="4" documentId="14_{95716BA6-DC7E-4F55-975E-4D4DE0602AE3}" xr6:coauthVersionLast="46" xr6:coauthVersionMax="46" xr10:uidLastSave="{BE668425-D324-46D6-8849-40D79EBE548A}"/>
  <bookViews>
    <workbookView xWindow="-108" yWindow="-108" windowWidth="23256" windowHeight="12576" xr2:uid="{00000000-000D-0000-FFFF-FFFF00000000}"/>
  </bookViews>
  <sheets>
    <sheet name="Inkomsten" sheetId="1" r:id="rId1"/>
    <sheet name="Gegevens" sheetId="2" r:id="rId2"/>
    <sheet name="Berekening-nw" sheetId="5" state="hidden" r:id="rId3"/>
    <sheet name="Handleid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11" i="2"/>
  <c r="A13" i="2"/>
  <c r="A14" i="2" s="1"/>
  <c r="A15" i="2" s="1"/>
  <c r="A16" i="2" s="1"/>
  <c r="A17" i="2" s="1"/>
  <c r="A18" i="2" s="1"/>
  <c r="A19" i="2" s="1"/>
  <c r="A20" i="2" s="1"/>
  <c r="A21" i="2" s="1"/>
  <c r="B12" i="2"/>
  <c r="B11" i="2" s="1"/>
  <c r="A3" i="5" s="1"/>
  <c r="F3" i="5" s="1"/>
  <c r="E32" i="1"/>
  <c r="D32" i="1"/>
  <c r="B1" i="5"/>
  <c r="B17" i="1" l="1"/>
  <c r="B53" i="5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A53" i="5"/>
  <c r="C11" i="2"/>
  <c r="B21" i="5"/>
  <c r="N21" i="5" s="1"/>
  <c r="A21" i="5"/>
  <c r="D3" i="5"/>
  <c r="S6" i="5"/>
  <c r="S7" i="5"/>
  <c r="S8" i="5"/>
  <c r="S9" i="5"/>
  <c r="S10" i="5"/>
  <c r="S11" i="5"/>
  <c r="S12" i="5"/>
  <c r="S13" i="5"/>
  <c r="S14" i="5"/>
  <c r="S15" i="5"/>
  <c r="H3" i="5" s="1"/>
  <c r="S4" i="5"/>
  <c r="W3" i="5"/>
  <c r="S5" i="5" s="1"/>
  <c r="O21" i="5" l="1"/>
  <c r="J20" i="5"/>
  <c r="A54" i="5"/>
  <c r="C53" i="5"/>
  <c r="C21" i="5"/>
  <c r="B3" i="5"/>
  <c r="A4" i="5"/>
  <c r="A55" i="5" l="1"/>
  <c r="C54" i="5"/>
  <c r="A36" i="5"/>
  <c r="B36" i="5"/>
  <c r="C3" i="5"/>
  <c r="E3" i="5"/>
  <c r="G3" i="5"/>
  <c r="D4" i="5"/>
  <c r="A22" i="5"/>
  <c r="O22" i="5" s="1"/>
  <c r="B22" i="5"/>
  <c r="F4" i="5"/>
  <c r="H4" i="5" s="1"/>
  <c r="A29" i="2"/>
  <c r="A56" i="5" l="1"/>
  <c r="C55" i="5"/>
  <c r="C36" i="5"/>
  <c r="I3" i="5"/>
  <c r="J3" i="5"/>
  <c r="J22" i="5"/>
  <c r="K22" i="5" s="1"/>
  <c r="F17" i="1" s="1"/>
  <c r="N22" i="5"/>
  <c r="C22" i="5"/>
  <c r="H6" i="1"/>
  <c r="A57" i="5" l="1"/>
  <c r="C56" i="5"/>
  <c r="K3" i="5"/>
  <c r="J21" i="5" s="1"/>
  <c r="A16" i="1" s="1"/>
  <c r="D21" i="5"/>
  <c r="B16" i="1" l="1"/>
  <c r="C16" i="1"/>
  <c r="D36" i="5"/>
  <c r="G36" i="5" s="1"/>
  <c r="A58" i="5"/>
  <c r="C57" i="5"/>
  <c r="G21" i="5"/>
  <c r="F21" i="5"/>
  <c r="A22" i="2"/>
  <c r="A23" i="2" s="1"/>
  <c r="A24" i="2" s="1"/>
  <c r="A25" i="2" s="1"/>
  <c r="C12" i="2"/>
  <c r="B4" i="5" s="1"/>
  <c r="F36" i="5" l="1"/>
  <c r="A59" i="5"/>
  <c r="C58" i="5"/>
  <c r="A37" i="5"/>
  <c r="B37" i="5"/>
  <c r="G4" i="5"/>
  <c r="C4" i="5"/>
  <c r="E4" i="5"/>
  <c r="C13" i="2"/>
  <c r="B5" i="5" s="1"/>
  <c r="B13" i="2"/>
  <c r="A5" i="5" s="1"/>
  <c r="C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60" i="5" l="1"/>
  <c r="C59" i="5"/>
  <c r="A23" i="5"/>
  <c r="O23" i="5" s="1"/>
  <c r="B23" i="5"/>
  <c r="A38" i="5"/>
  <c r="B38" i="5"/>
  <c r="C37" i="5"/>
  <c r="D5" i="5"/>
  <c r="F5" i="5"/>
  <c r="H5" i="5" s="1"/>
  <c r="E5" i="5"/>
  <c r="C5" i="5"/>
  <c r="G5" i="5"/>
  <c r="I5" i="5" s="1"/>
  <c r="I4" i="5"/>
  <c r="J4" i="5"/>
  <c r="D22" i="5" s="1"/>
  <c r="C14" i="2"/>
  <c r="A61" i="5" l="1"/>
  <c r="C60" i="5"/>
  <c r="J23" i="5"/>
  <c r="K23" i="5" s="1"/>
  <c r="F18" i="1" s="1"/>
  <c r="N23" i="5"/>
  <c r="C38" i="5"/>
  <c r="F22" i="5"/>
  <c r="G22" i="5"/>
  <c r="C23" i="5"/>
  <c r="J5" i="5"/>
  <c r="D23" i="5" s="1"/>
  <c r="C15" i="2"/>
  <c r="B6" i="5"/>
  <c r="K4" i="5"/>
  <c r="D37" i="5" s="1"/>
  <c r="B31" i="1"/>
  <c r="C31" i="1"/>
  <c r="C19" i="1"/>
  <c r="C18" i="1"/>
  <c r="B18" i="1"/>
  <c r="C15" i="1"/>
  <c r="B15" i="1"/>
  <c r="A62" i="5" l="1"/>
  <c r="C61" i="5"/>
  <c r="G37" i="5"/>
  <c r="I22" i="5" s="1"/>
  <c r="F23" i="5"/>
  <c r="G23" i="5"/>
  <c r="A39" i="5"/>
  <c r="B39" i="5"/>
  <c r="F37" i="5"/>
  <c r="H22" i="5" s="1"/>
  <c r="K5" i="5"/>
  <c r="D38" i="5" s="1"/>
  <c r="G6" i="5"/>
  <c r="I6" i="5" s="1"/>
  <c r="E6" i="5"/>
  <c r="C16" i="2"/>
  <c r="B17" i="2" s="1"/>
  <c r="A9" i="5" s="1"/>
  <c r="B7" i="5"/>
  <c r="C20" i="1"/>
  <c r="A42" i="1"/>
  <c r="A41" i="1"/>
  <c r="A43" i="1"/>
  <c r="A37" i="1"/>
  <c r="A36" i="1"/>
  <c r="A35" i="1"/>
  <c r="B14" i="2"/>
  <c r="A6" i="5" s="1"/>
  <c r="B16" i="2"/>
  <c r="A8" i="5" s="1"/>
  <c r="B15" i="2"/>
  <c r="A7" i="5" s="1"/>
  <c r="A63" i="5" l="1"/>
  <c r="C62" i="5"/>
  <c r="G38" i="5"/>
  <c r="A40" i="5"/>
  <c r="B40" i="5"/>
  <c r="A25" i="5"/>
  <c r="B25" i="5"/>
  <c r="C6" i="5"/>
  <c r="A24" i="5"/>
  <c r="O24" i="5" s="1"/>
  <c r="B24" i="5"/>
  <c r="N24" i="5" s="1"/>
  <c r="F38" i="5"/>
  <c r="H23" i="5" s="1"/>
  <c r="C39" i="5"/>
  <c r="B27" i="5"/>
  <c r="A27" i="5"/>
  <c r="A26" i="5"/>
  <c r="O25" i="5" s="1"/>
  <c r="B26" i="5"/>
  <c r="F6" i="5"/>
  <c r="D6" i="5"/>
  <c r="F9" i="5"/>
  <c r="D9" i="5"/>
  <c r="F7" i="5"/>
  <c r="H7" i="5" s="1"/>
  <c r="D7" i="5"/>
  <c r="G7" i="5"/>
  <c r="I7" i="5" s="1"/>
  <c r="C7" i="5"/>
  <c r="E7" i="5"/>
  <c r="F8" i="5"/>
  <c r="D8" i="5"/>
  <c r="C17" i="2"/>
  <c r="B8" i="5"/>
  <c r="C21" i="1"/>
  <c r="B21" i="1"/>
  <c r="B22" i="1"/>
  <c r="B20" i="1"/>
  <c r="B19" i="1"/>
  <c r="A64" i="5" l="1"/>
  <c r="C63" i="5"/>
  <c r="I23" i="5"/>
  <c r="J25" i="5"/>
  <c r="K25" i="5" s="1"/>
  <c r="F20" i="1" s="1"/>
  <c r="N25" i="5"/>
  <c r="C27" i="5"/>
  <c r="O26" i="5"/>
  <c r="J26" i="5"/>
  <c r="K26" i="5" s="1"/>
  <c r="F21" i="1" s="1"/>
  <c r="N26" i="5"/>
  <c r="C40" i="5"/>
  <c r="C26" i="5"/>
  <c r="C25" i="5"/>
  <c r="C24" i="5"/>
  <c r="J24" i="5"/>
  <c r="K24" i="5" s="1"/>
  <c r="F19" i="1" s="1"/>
  <c r="A41" i="5"/>
  <c r="B41" i="5"/>
  <c r="C18" i="2"/>
  <c r="B9" i="5"/>
  <c r="C22" i="1"/>
  <c r="B18" i="2"/>
  <c r="H8" i="5"/>
  <c r="H6" i="5"/>
  <c r="J6" i="5" s="1"/>
  <c r="D24" i="5" s="1"/>
  <c r="H9" i="5"/>
  <c r="E8" i="5"/>
  <c r="C8" i="5"/>
  <c r="G8" i="5"/>
  <c r="I8" i="5" s="1"/>
  <c r="J7" i="5"/>
  <c r="D25" i="5" s="1"/>
  <c r="A65" i="5" l="1"/>
  <c r="C64" i="5"/>
  <c r="C41" i="5"/>
  <c r="F24" i="5"/>
  <c r="G24" i="5"/>
  <c r="F25" i="5"/>
  <c r="G25" i="5"/>
  <c r="A42" i="5"/>
  <c r="B42" i="5"/>
  <c r="K6" i="5"/>
  <c r="D39" i="5" s="1"/>
  <c r="E9" i="5"/>
  <c r="G9" i="5"/>
  <c r="C9" i="5"/>
  <c r="C19" i="2"/>
  <c r="B10" i="5"/>
  <c r="C23" i="1"/>
  <c r="B19" i="2"/>
  <c r="A10" i="5"/>
  <c r="B23" i="1"/>
  <c r="J8" i="5"/>
  <c r="D26" i="5" s="1"/>
  <c r="K7" i="5"/>
  <c r="D40" i="5" s="1"/>
  <c r="A66" i="5" l="1"/>
  <c r="C66" i="5" s="1"/>
  <c r="C65" i="5"/>
  <c r="G40" i="5"/>
  <c r="I25" i="5" s="1"/>
  <c r="G39" i="5"/>
  <c r="I24" i="5" s="1"/>
  <c r="F40" i="5"/>
  <c r="H25" i="5" s="1"/>
  <c r="F26" i="5"/>
  <c r="G26" i="5"/>
  <c r="A28" i="5"/>
  <c r="O27" i="5" s="1"/>
  <c r="B28" i="5"/>
  <c r="F39" i="5"/>
  <c r="H24" i="5" s="1"/>
  <c r="A43" i="5"/>
  <c r="B43" i="5"/>
  <c r="C42" i="5"/>
  <c r="K8" i="5"/>
  <c r="D41" i="5" s="1"/>
  <c r="F10" i="5"/>
  <c r="D10" i="5"/>
  <c r="A11" i="5"/>
  <c r="B24" i="1"/>
  <c r="G10" i="5"/>
  <c r="I10" i="5" s="1"/>
  <c r="E10" i="5"/>
  <c r="C10" i="5"/>
  <c r="I9" i="5"/>
  <c r="J9" i="5"/>
  <c r="D27" i="5" s="1"/>
  <c r="C20" i="2"/>
  <c r="B11" i="5"/>
  <c r="C24" i="1"/>
  <c r="B20" i="2"/>
  <c r="G41" i="5" l="1"/>
  <c r="J27" i="5"/>
  <c r="K27" i="5" s="1"/>
  <c r="F22" i="1" s="1"/>
  <c r="N27" i="5"/>
  <c r="C43" i="5"/>
  <c r="C28" i="5"/>
  <c r="F27" i="5"/>
  <c r="G27" i="5"/>
  <c r="F41" i="5"/>
  <c r="H26" i="5" s="1"/>
  <c r="A44" i="5"/>
  <c r="B44" i="5"/>
  <c r="A29" i="5"/>
  <c r="O28" i="5" s="1"/>
  <c r="B29" i="5"/>
  <c r="A12" i="5"/>
  <c r="B25" i="1"/>
  <c r="K9" i="5"/>
  <c r="D42" i="5" s="1"/>
  <c r="H10" i="5"/>
  <c r="J10" i="5" s="1"/>
  <c r="D28" i="5" s="1"/>
  <c r="C21" i="2"/>
  <c r="B12" i="5"/>
  <c r="C25" i="1"/>
  <c r="B21" i="2"/>
  <c r="F11" i="5"/>
  <c r="H11" i="5" s="1"/>
  <c r="D11" i="5"/>
  <c r="G11" i="5"/>
  <c r="I11" i="5" s="1"/>
  <c r="C11" i="5"/>
  <c r="E11" i="5"/>
  <c r="G42" i="5" l="1"/>
  <c r="I27" i="5" s="1"/>
  <c r="I26" i="5"/>
  <c r="C44" i="5"/>
  <c r="J28" i="5"/>
  <c r="K28" i="5" s="1"/>
  <c r="F23" i="1" s="1"/>
  <c r="N28" i="5"/>
  <c r="A30" i="5"/>
  <c r="O29" i="5" s="1"/>
  <c r="B30" i="5"/>
  <c r="C29" i="5"/>
  <c r="A45" i="5"/>
  <c r="B45" i="5"/>
  <c r="F28" i="5"/>
  <c r="G28" i="5"/>
  <c r="F42" i="5"/>
  <c r="J11" i="5"/>
  <c r="D29" i="5" s="1"/>
  <c r="K10" i="5"/>
  <c r="D43" i="5" s="1"/>
  <c r="F12" i="5"/>
  <c r="D12" i="5"/>
  <c r="C12" i="5"/>
  <c r="G12" i="5"/>
  <c r="I12" i="5" s="1"/>
  <c r="E12" i="5"/>
  <c r="A13" i="5"/>
  <c r="B26" i="1"/>
  <c r="C22" i="2"/>
  <c r="B13" i="5"/>
  <c r="C26" i="1"/>
  <c r="B22" i="2"/>
  <c r="G43" i="5" l="1"/>
  <c r="H27" i="5"/>
  <c r="C45" i="5"/>
  <c r="J29" i="5"/>
  <c r="K29" i="5" s="1"/>
  <c r="F24" i="1" s="1"/>
  <c r="N29" i="5"/>
  <c r="C30" i="5"/>
  <c r="B46" i="5"/>
  <c r="A46" i="5"/>
  <c r="F43" i="5"/>
  <c r="H28" i="5" s="1"/>
  <c r="F29" i="5"/>
  <c r="G29" i="5"/>
  <c r="A31" i="5"/>
  <c r="O30" i="5" s="1"/>
  <c r="B31" i="5"/>
  <c r="K11" i="5"/>
  <c r="D44" i="5" s="1"/>
  <c r="H12" i="5"/>
  <c r="J12" i="5" s="1"/>
  <c r="D30" i="5" s="1"/>
  <c r="F13" i="5"/>
  <c r="D13" i="5"/>
  <c r="A14" i="5"/>
  <c r="B27" i="1"/>
  <c r="G13" i="5"/>
  <c r="I13" i="5" s="1"/>
  <c r="C13" i="5"/>
  <c r="E13" i="5"/>
  <c r="C23" i="2"/>
  <c r="B14" i="5"/>
  <c r="C27" i="1"/>
  <c r="B23" i="2"/>
  <c r="G44" i="5" l="1"/>
  <c r="I29" i="5" s="1"/>
  <c r="I28" i="5"/>
  <c r="J30" i="5"/>
  <c r="K30" i="5" s="1"/>
  <c r="F25" i="1" s="1"/>
  <c r="N30" i="5"/>
  <c r="F30" i="5"/>
  <c r="G30" i="5"/>
  <c r="F44" i="5"/>
  <c r="A32" i="5"/>
  <c r="O31" i="5" s="1"/>
  <c r="B32" i="5"/>
  <c r="N31" i="5" s="1"/>
  <c r="C31" i="5"/>
  <c r="A47" i="5"/>
  <c r="B47" i="5"/>
  <c r="C46" i="5"/>
  <c r="K12" i="5"/>
  <c r="D45" i="5" s="1"/>
  <c r="A15" i="5"/>
  <c r="B28" i="1"/>
  <c r="E14" i="5"/>
  <c r="C14" i="5"/>
  <c r="G14" i="5"/>
  <c r="I14" i="5" s="1"/>
  <c r="C24" i="2"/>
  <c r="B15" i="5"/>
  <c r="C28" i="1"/>
  <c r="B24" i="2"/>
  <c r="D14" i="5"/>
  <c r="F14" i="5"/>
  <c r="H14" i="5" s="1"/>
  <c r="H13" i="5"/>
  <c r="J13" i="5" s="1"/>
  <c r="D31" i="5" s="1"/>
  <c r="G45" i="5" l="1"/>
  <c r="H29" i="5"/>
  <c r="J14" i="5"/>
  <c r="D32" i="5" s="1"/>
  <c r="C47" i="5"/>
  <c r="G31" i="5"/>
  <c r="F31" i="5"/>
  <c r="B48" i="5"/>
  <c r="A48" i="5"/>
  <c r="C32" i="5"/>
  <c r="J31" i="5"/>
  <c r="K31" i="5" s="1"/>
  <c r="F26" i="1" s="1"/>
  <c r="A33" i="5"/>
  <c r="O32" i="5" s="1"/>
  <c r="B33" i="5"/>
  <c r="F45" i="5"/>
  <c r="K13" i="5"/>
  <c r="D46" i="5" s="1"/>
  <c r="C25" i="2"/>
  <c r="B16" i="5"/>
  <c r="C29" i="1"/>
  <c r="B25" i="2"/>
  <c r="A16" i="5"/>
  <c r="B29" i="1"/>
  <c r="G15" i="5"/>
  <c r="I15" i="5" s="1"/>
  <c r="C15" i="5"/>
  <c r="E15" i="5"/>
  <c r="D15" i="5"/>
  <c r="F15" i="5"/>
  <c r="H15" i="5" s="1"/>
  <c r="G32" i="5" l="1"/>
  <c r="G46" i="5"/>
  <c r="I31" i="5" s="1"/>
  <c r="F32" i="5"/>
  <c r="K14" i="5"/>
  <c r="D47" i="5" s="1"/>
  <c r="I30" i="5"/>
  <c r="H30" i="5"/>
  <c r="J32" i="5"/>
  <c r="K32" i="5" s="1"/>
  <c r="F27" i="1" s="1"/>
  <c r="N32" i="5"/>
  <c r="F46" i="5"/>
  <c r="C33" i="5"/>
  <c r="C48" i="5"/>
  <c r="A34" i="5"/>
  <c r="O33" i="5" s="1"/>
  <c r="B34" i="5"/>
  <c r="A49" i="5"/>
  <c r="B49" i="5"/>
  <c r="J15" i="5"/>
  <c r="D33" i="5" s="1"/>
  <c r="A17" i="5"/>
  <c r="B30" i="1"/>
  <c r="E16" i="5"/>
  <c r="C16" i="5"/>
  <c r="G16" i="5"/>
  <c r="I16" i="5" s="1"/>
  <c r="F16" i="5"/>
  <c r="D16" i="5"/>
  <c r="B17" i="5"/>
  <c r="C30" i="1"/>
  <c r="F47" i="5" l="1"/>
  <c r="H32" i="5" s="1"/>
  <c r="G47" i="5"/>
  <c r="I32" i="5" s="1"/>
  <c r="H31" i="5"/>
  <c r="J33" i="5"/>
  <c r="K33" i="5" s="1"/>
  <c r="F28" i="1" s="1"/>
  <c r="N33" i="5"/>
  <c r="C34" i="5"/>
  <c r="F33" i="5"/>
  <c r="G33" i="5"/>
  <c r="K15" i="5"/>
  <c r="D48" i="5" s="1"/>
  <c r="C49" i="5"/>
  <c r="A50" i="5"/>
  <c r="B50" i="5"/>
  <c r="A35" i="5"/>
  <c r="O34" i="5" s="1"/>
  <c r="B35" i="5"/>
  <c r="E17" i="5"/>
  <c r="C17" i="5"/>
  <c r="G17" i="5"/>
  <c r="I17" i="5" s="1"/>
  <c r="H16" i="5"/>
  <c r="J16" i="5" s="1"/>
  <c r="D34" i="5" s="1"/>
  <c r="F17" i="5"/>
  <c r="D17" i="5"/>
  <c r="G48" i="5" l="1"/>
  <c r="I33" i="5" s="1"/>
  <c r="J34" i="5"/>
  <c r="N34" i="5"/>
  <c r="C50" i="5"/>
  <c r="F34" i="5"/>
  <c r="G34" i="5"/>
  <c r="C35" i="5"/>
  <c r="F48" i="5"/>
  <c r="K16" i="5"/>
  <c r="D49" i="5" s="1"/>
  <c r="H17" i="5"/>
  <c r="J17" i="5" s="1"/>
  <c r="D35" i="5" s="1"/>
  <c r="G49" i="5" l="1"/>
  <c r="H33" i="5"/>
  <c r="K34" i="5"/>
  <c r="F29" i="1" s="1"/>
  <c r="F35" i="5"/>
  <c r="G35" i="5"/>
  <c r="I21" i="5" s="1"/>
  <c r="F49" i="5"/>
  <c r="K17" i="5"/>
  <c r="D50" i="5" s="1"/>
  <c r="G50" i="5" s="1"/>
  <c r="Q34" i="5" l="1"/>
  <c r="H29" i="1" s="1"/>
  <c r="H21" i="5"/>
  <c r="I34" i="5"/>
  <c r="H34" i="5"/>
  <c r="F50" i="5"/>
  <c r="Q23" i="5" s="1"/>
  <c r="H18" i="1" s="1"/>
  <c r="Q32" i="5" l="1"/>
  <c r="H27" i="1" s="1"/>
  <c r="M34" i="5"/>
  <c r="G29" i="1" s="1"/>
  <c r="M32" i="5"/>
  <c r="G27" i="1" s="1"/>
  <c r="M23" i="5"/>
  <c r="G18" i="1" s="1"/>
  <c r="M28" i="5"/>
  <c r="G23" i="1" s="1"/>
  <c r="Q33" i="5"/>
  <c r="H28" i="1" s="1"/>
  <c r="M26" i="5"/>
  <c r="G21" i="1" s="1"/>
  <c r="Q24" i="5"/>
  <c r="H19" i="1" s="1"/>
  <c r="M33" i="5"/>
  <c r="G28" i="1" s="1"/>
  <c r="Q27" i="5"/>
  <c r="H22" i="1" s="1"/>
  <c r="Q25" i="5"/>
  <c r="H20" i="1" s="1"/>
  <c r="Q30" i="5"/>
  <c r="H25" i="1" s="1"/>
  <c r="M25" i="5"/>
  <c r="G20" i="1" s="1"/>
  <c r="Q21" i="5"/>
  <c r="Q29" i="5"/>
  <c r="H24" i="1" s="1"/>
  <c r="M30" i="5"/>
  <c r="G25" i="1" s="1"/>
  <c r="M22" i="5"/>
  <c r="G17" i="1" s="1"/>
  <c r="M31" i="5"/>
  <c r="G26" i="1" s="1"/>
  <c r="Q26" i="5"/>
  <c r="H21" i="1" s="1"/>
  <c r="M21" i="5"/>
  <c r="G16" i="1" s="1"/>
  <c r="Q28" i="5"/>
  <c r="H23" i="1" s="1"/>
  <c r="M27" i="5"/>
  <c r="G22" i="1" s="1"/>
  <c r="Q22" i="5"/>
  <c r="H17" i="1" s="1"/>
  <c r="Q31" i="5"/>
  <c r="H26" i="1" s="1"/>
  <c r="M29" i="5"/>
  <c r="G24" i="1" s="1"/>
  <c r="M24" i="5"/>
  <c r="G19" i="1" s="1"/>
  <c r="H35" i="5"/>
  <c r="F52" i="5"/>
  <c r="I35" i="5"/>
  <c r="H16" i="1" l="1"/>
  <c r="K21" i="5"/>
  <c r="F16" i="1" s="1"/>
  <c r="Q35" i="5"/>
  <c r="M35" i="5"/>
  <c r="E43" i="1"/>
  <c r="E37" i="1" l="1"/>
  <c r="E41" i="1"/>
  <c r="E42" i="1"/>
  <c r="E36" i="1"/>
  <c r="E35" i="1" l="1"/>
  <c r="E38" i="1" s="1"/>
  <c r="G32" i="1"/>
  <c r="H32" i="1"/>
  <c r="E44" i="1"/>
</calcChain>
</file>

<file path=xl/sharedStrings.xml><?xml version="1.0" encoding="utf-8"?>
<sst xmlns="http://schemas.openxmlformats.org/spreadsheetml/2006/main" count="100" uniqueCount="80">
  <si>
    <t>Werkgever</t>
  </si>
  <si>
    <t>Periode</t>
  </si>
  <si>
    <t>Inkomsten
per periode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</si>
  <si>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</si>
  <si>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</si>
  <si>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</si>
  <si>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</si>
  <si>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</si>
  <si>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</si>
  <si>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</si>
  <si>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</si>
  <si>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</si>
  <si>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</si>
  <si>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</si>
  <si>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</si>
  <si>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inkomsten
per maand</t>
  </si>
  <si>
    <t>Jaar</t>
  </si>
  <si>
    <t>van</t>
  </si>
  <si>
    <t>t/m</t>
  </si>
  <si>
    <t>Periodes</t>
  </si>
  <si>
    <t>dagen</t>
  </si>
  <si>
    <t>Cliënt</t>
  </si>
  <si>
    <t>Omrekenen inkomsten van 4 weken naar maand</t>
  </si>
  <si>
    <t>Totaal</t>
  </si>
  <si>
    <t>Specificatie totale inkomsten</t>
  </si>
  <si>
    <t>Netto inkomsten</t>
  </si>
  <si>
    <t>Fiscaal loon</t>
  </si>
  <si>
    <t>fiscaal loon
per maand</t>
  </si>
  <si>
    <t>Fiscaal loon
per periode</t>
  </si>
  <si>
    <t>Maand</t>
  </si>
  <si>
    <t>Handleiding</t>
  </si>
  <si>
    <t>Tabblad gegevens</t>
  </si>
  <si>
    <t>Meestal zullen dit periodes van 4 weken zijn.</t>
  </si>
  <si>
    <t>Maar maximaal 14 periodes per jaar zijn mogelijk.</t>
  </si>
  <si>
    <t>Alleen de grijze velden kunnen ingevuld worden.</t>
  </si>
  <si>
    <t>De andere velden worden aan de hand van de invoerde</t>
  </si>
  <si>
    <t>data automatisch gevuld.</t>
  </si>
  <si>
    <t>Tabblad inkomsten</t>
  </si>
  <si>
    <t>Onder het kopje netto inkomsten, vult u de netto inkomsten</t>
  </si>
  <si>
    <t>per periode in.</t>
  </si>
  <si>
    <t>Aan de hand van de in het tabblad gegevens ingevulde periodes zullen</t>
  </si>
  <si>
    <t xml:space="preserve">deze inkomsten omgerekend worden naar de maand(en) waarop zij </t>
  </si>
  <si>
    <t>betrekking hebben.</t>
  </si>
  <si>
    <t>Als de netto inkomsten naar een bepaalde maand worden toegerekend,</t>
  </si>
  <si>
    <t>dan moet ook het fiscaal loon aan diezelfde maand worden toegerekend.</t>
  </si>
  <si>
    <t>Afhankelijk van het automatiseringssysteem waarmee wordt gewerkt,</t>
  </si>
  <si>
    <t xml:space="preserve">is dit mogelijk noodzakelijk. Immers bij 13 loonperiodes wordt de </t>
  </si>
  <si>
    <t>Algemene Heffingskorting en mogelijk de arbeidskorting verdeeld</t>
  </si>
  <si>
    <t>over 13 periodes. Als wij de inkomsten korten op basis van 12 maandelijkse</t>
  </si>
  <si>
    <t>periodes, dan moeten deze kortingen (aan de hand van de ingave fiscaal loon)</t>
  </si>
  <si>
    <t>ook omgerekend worden naar 12 maanden.</t>
  </si>
  <si>
    <t>omdat soms aan de hand van het ingegeven netto loon omrekening naar</t>
  </si>
  <si>
    <t>fiscaal loon plaats vindt.</t>
  </si>
  <si>
    <t>Niet in elk automatiseringssysteem is ingave van het fiscaal loon noodzakelijk,</t>
  </si>
  <si>
    <t>In dit tabblad kunt als eerste het jaartal invullen.</t>
  </si>
  <si>
    <t>In dit voorbeeld is het jaar vooringevuld, maar dit kunt u aanpassen</t>
  </si>
  <si>
    <t>naar eigen behoefte.</t>
  </si>
  <si>
    <t>eigen behoefte aanpassen.</t>
  </si>
  <si>
    <t>ook de periodes zijn reeds ingevuld, maar ook deze kunt u naar</t>
  </si>
  <si>
    <t>Specificatie totaal Fiscaal loon</t>
  </si>
  <si>
    <t>Gemeente</t>
  </si>
  <si>
    <t>jaar</t>
  </si>
  <si>
    <t>jaar2</t>
  </si>
  <si>
    <t>Boekjaar</t>
  </si>
  <si>
    <t>maand 1</t>
  </si>
  <si>
    <t>maand 2</t>
  </si>
  <si>
    <t>dagen 1</t>
  </si>
  <si>
    <t>dagen 2</t>
  </si>
  <si>
    <t>aantal 1</t>
  </si>
  <si>
    <t>aantal 2</t>
  </si>
  <si>
    <t>Inkomen</t>
  </si>
  <si>
    <t>Fisc.loon</t>
  </si>
  <si>
    <t>controle</t>
  </si>
  <si>
    <t>FC</t>
  </si>
  <si>
    <t>Loon</t>
  </si>
  <si>
    <t>Berekening</t>
  </si>
  <si>
    <t xml:space="preserve"> </t>
  </si>
  <si>
    <t>Nummer</t>
  </si>
  <si>
    <t>© Wyzer</t>
  </si>
  <si>
    <t>afsd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</si>
</sst>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7418C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1" fontId="5" fillId="0" borderId="0" xfId="0" applyNumberFormat="1" applyFont="1"/>
    <xf numFmtId="14" fontId="5" fillId="0" borderId="0" xfId="0" applyNumberFormat="1" applyFont="1"/>
    <xf numFmtId="44" fontId="5" fillId="0" borderId="0" xfId="0" applyNumberFormat="1" applyFont="1"/>
    <xf numFmtId="2" fontId="5" fillId="0" borderId="0" xfId="0" applyNumberFormat="1" applyFont="1"/>
    <xf numFmtId="0" fontId="5" fillId="0" borderId="35" xfId="0" applyFont="1" applyBorder="1"/>
    <xf numFmtId="0" fontId="5" fillId="0" borderId="0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/>
    </xf>
    <xf numFmtId="14" fontId="6" fillId="0" borderId="38" xfId="0" applyNumberFormat="1" applyFont="1" applyBorder="1" applyAlignment="1">
      <alignment horizontal="right"/>
    </xf>
    <xf numFmtId="14" fontId="6" fillId="0" borderId="29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2" fontId="6" fillId="0" borderId="24" xfId="0" applyNumberFormat="1" applyFont="1" applyBorder="1"/>
    <xf numFmtId="0" fontId="6" fillId="0" borderId="2" xfId="0" applyFont="1" applyBorder="1"/>
    <xf numFmtId="14" fontId="6" fillId="0" borderId="29" xfId="0" applyNumberFormat="1" applyFont="1" applyBorder="1"/>
    <xf numFmtId="2" fontId="6" fillId="0" borderId="4" xfId="0" applyNumberFormat="1" applyFont="1" applyBorder="1"/>
    <xf numFmtId="2" fontId="6" fillId="0" borderId="0" xfId="0" applyNumberFormat="1" applyFont="1"/>
    <xf numFmtId="0" fontId="6" fillId="0" borderId="14" xfId="0" applyFont="1" applyBorder="1"/>
    <xf numFmtId="0" fontId="6" fillId="0" borderId="16" xfId="0" applyFont="1" applyBorder="1"/>
    <xf numFmtId="0" fontId="6" fillId="0" borderId="6" xfId="0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0" fontId="6" fillId="0" borderId="5" xfId="0" applyFont="1" applyBorder="1"/>
    <xf numFmtId="0" fontId="6" fillId="0" borderId="30" xfId="0" applyFon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0" fontId="6" fillId="0" borderId="23" xfId="0" applyFont="1" applyBorder="1"/>
    <xf numFmtId="0" fontId="8" fillId="0" borderId="25" xfId="0" applyFont="1" applyBorder="1"/>
    <xf numFmtId="0" fontId="8" fillId="0" borderId="26" xfId="0" applyFont="1" applyBorder="1"/>
    <xf numFmtId="0" fontId="6" fillId="0" borderId="26" xfId="0" applyFont="1" applyBorder="1"/>
    <xf numFmtId="0" fontId="10" fillId="0" borderId="0" xfId="0" applyFont="1"/>
    <xf numFmtId="2" fontId="6" fillId="2" borderId="31" xfId="0" applyNumberFormat="1" applyFont="1" applyFill="1" applyBorder="1" applyProtection="1">
      <protection locked="0"/>
    </xf>
    <xf numFmtId="2" fontId="6" fillId="2" borderId="34" xfId="0" applyNumberFormat="1" applyFont="1" applyFill="1" applyBorder="1" applyProtection="1">
      <protection locked="0"/>
    </xf>
    <xf numFmtId="2" fontId="6" fillId="2" borderId="27" xfId="0" applyNumberFormat="1" applyFont="1" applyFill="1" applyBorder="1" applyProtection="1">
      <protection locked="0"/>
    </xf>
    <xf numFmtId="0" fontId="9" fillId="3" borderId="21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32" xfId="0" applyFont="1" applyFill="1" applyBorder="1"/>
    <xf numFmtId="0" fontId="11" fillId="3" borderId="20" xfId="0" applyFont="1" applyFill="1" applyBorder="1"/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12" fillId="3" borderId="0" xfId="0" applyFont="1" applyFill="1"/>
    <xf numFmtId="0" fontId="5" fillId="3" borderId="0" xfId="0" applyFont="1" applyFill="1"/>
    <xf numFmtId="0" fontId="12" fillId="0" borderId="0" xfId="0" applyFo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12" fillId="3" borderId="0" xfId="0" applyNumberFormat="1" applyFont="1" applyFill="1"/>
    <xf numFmtId="0" fontId="6" fillId="0" borderId="0" xfId="0" applyFont="1" applyProtection="1"/>
    <xf numFmtId="0" fontId="8" fillId="0" borderId="0" xfId="0" applyFont="1" applyProtection="1"/>
    <xf numFmtId="1" fontId="6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14" fontId="6" fillId="0" borderId="36" xfId="0" applyNumberFormat="1" applyFont="1" applyBorder="1" applyAlignment="1" applyProtection="1">
      <alignment horizontal="right"/>
    </xf>
    <xf numFmtId="0" fontId="6" fillId="0" borderId="37" xfId="0" applyFont="1" applyBorder="1" applyProtection="1"/>
    <xf numFmtId="14" fontId="6" fillId="0" borderId="3" xfId="0" applyNumberFormat="1" applyFont="1" applyBorder="1" applyProtection="1"/>
    <xf numFmtId="14" fontId="6" fillId="0" borderId="29" xfId="0" applyNumberFormat="1" applyFont="1" applyBorder="1" applyProtection="1"/>
    <xf numFmtId="0" fontId="6" fillId="0" borderId="12" xfId="0" applyFont="1" applyBorder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13" xfId="0" applyFont="1" applyBorder="1" applyProtection="1"/>
    <xf numFmtId="14" fontId="6" fillId="0" borderId="33" xfId="0" applyNumberFormat="1" applyFont="1" applyBorder="1" applyProtection="1"/>
    <xf numFmtId="0" fontId="10" fillId="0" borderId="0" xfId="0" applyFo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74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</xdr:colOff>
      <xdr:row>0</xdr:row>
      <xdr:rowOff>30480</xdr:rowOff>
    </xdr:from>
    <xdr:to>
      <xdr:col>5</xdr:col>
      <xdr:colOff>480066</xdr:colOff>
      <xdr:row>2</xdr:row>
      <xdr:rowOff>475490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C721C69-AEBD-419B-A6EE-049FA050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30480"/>
          <a:ext cx="3108966" cy="871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541020</xdr:colOff>
      <xdr:row>0</xdr:row>
      <xdr:rowOff>91440</xdr:rowOff>
    </xdr:from>
    <xdr:to>
      <xdr:col>7</xdr:col>
      <xdr:colOff>243846</xdr:colOff>
      <xdr:row>4</xdr:row>
      <xdr:rowOff>121920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65CC81F-CC87-429A-A7F9-B4C0AF9D1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140" y="91440"/>
          <a:ext cx="3108966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441960</xdr:colOff>
      <xdr:row>0</xdr:row>
      <xdr:rowOff>38100</xdr:rowOff>
    </xdr:from>
    <xdr:to>
      <xdr:col>8</xdr:col>
      <xdr:colOff>502926</xdr:colOff>
      <xdr:row>3</xdr:row>
      <xdr:rowOff>170690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37B66D2-6697-4078-87FA-BC79BC01F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38100"/>
          <a:ext cx="3108966" cy="87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8"/>
  <sheetViews>
    <sheetView showGridLines="0" tabSelected="1" topLeftCell="A13" workbookViewId="0">
      <selection activeCell="K6" sqref="K6"/>
    </sheetView>
  </sheetViews>
  <sheetFormatPr defaultRowHeight="14.4" x14ac:dyDescent="0.3"/>
  <cols>
    <col min="1" max="1" width="10.5546875" style="8" bestFit="1" customWidth="1"/>
    <col min="2" max="3" width="10.44140625" style="8" bestFit="1" customWidth="1"/>
    <col min="4" max="4" width="15.33203125" style="8" customWidth="1"/>
    <col min="5" max="5" width="15.5546875" style="8" customWidth="1"/>
    <col min="6" max="6" width="15.33203125" style="8" bestFit="1" customWidth="1"/>
    <col min="7" max="7" width="13" style="8" customWidth="1"/>
    <col min="8" max="8" width="14" style="8" customWidth="1"/>
    <col min="9" max="9" width="12.6640625" style="8" customWidth="1"/>
    <col min="10" max="10" width="15.33203125" style="8" bestFit="1" customWidth="1"/>
    <col min="11" max="11" width="11.44140625" style="8" customWidth="1"/>
    <col min="12" max="16384" width="8.88671875" style="8"/>
  </cols>
  <sheetData>
    <row r="2" spans="1:9" ht="19.5" customHeight="1" x14ac:dyDescent="0.3"/>
    <row r="3" spans="1:9" ht="45" customHeight="1" x14ac:dyDescent="0.3"/>
    <row r="4" spans="1:9" ht="21" x14ac:dyDescent="0.4">
      <c r="A4" s="53" t="s">
        <v>22</v>
      </c>
      <c r="B4" s="53"/>
      <c r="C4" s="53"/>
      <c r="D4" s="54"/>
      <c r="E4" s="54"/>
      <c r="F4" s="54"/>
    </row>
    <row r="5" spans="1:9" ht="9.75" customHeight="1" x14ac:dyDescent="0.4">
      <c r="A5" s="9"/>
      <c r="B5" s="9"/>
      <c r="C5" s="9"/>
    </row>
    <row r="6" spans="1:9" ht="21" x14ac:dyDescent="0.4">
      <c r="A6" s="53" t="s">
        <v>60</v>
      </c>
      <c r="B6" s="54"/>
      <c r="C6" s="48" t="s">
        <v>76</v>
      </c>
      <c r="D6" s="49"/>
      <c r="E6" s="49"/>
      <c r="G6" s="9"/>
      <c r="H6" s="60">
        <f>Gegevens!B4</f>
        <v>2021</v>
      </c>
    </row>
    <row r="7" spans="1:9" ht="7.5" customHeight="1" x14ac:dyDescent="0.4">
      <c r="A7" s="55"/>
      <c r="B7" s="55"/>
      <c r="C7" s="9"/>
      <c r="G7" s="10"/>
      <c r="H7" s="10"/>
    </row>
    <row r="8" spans="1:9" ht="18" customHeight="1" x14ac:dyDescent="0.4">
      <c r="A8" s="55"/>
      <c r="B8" s="55"/>
      <c r="C8" s="9"/>
      <c r="G8" s="10"/>
      <c r="H8" s="10"/>
    </row>
    <row r="9" spans="1:9" ht="21" x14ac:dyDescent="0.4">
      <c r="A9" s="53" t="s">
        <v>21</v>
      </c>
      <c r="B9" s="53"/>
      <c r="C9" s="50"/>
      <c r="D9" s="51"/>
      <c r="E9" s="51"/>
      <c r="F9" s="52"/>
      <c r="H9" s="10"/>
    </row>
    <row r="10" spans="1:9" ht="21" x14ac:dyDescent="0.4">
      <c r="A10" s="53" t="s">
        <v>77</v>
      </c>
      <c r="B10" s="53"/>
      <c r="C10" s="50"/>
      <c r="D10" s="51"/>
      <c r="E10" s="51"/>
      <c r="F10" s="52"/>
      <c r="H10" s="10"/>
    </row>
    <row r="11" spans="1:9" ht="9.75" customHeight="1" x14ac:dyDescent="0.3">
      <c r="A11" s="1"/>
      <c r="B11" s="1"/>
    </row>
    <row r="12" spans="1:9" ht="21" x14ac:dyDescent="0.4">
      <c r="A12" s="53" t="s">
        <v>0</v>
      </c>
      <c r="B12" s="53"/>
      <c r="C12" s="50"/>
      <c r="D12" s="51"/>
      <c r="E12" s="51"/>
      <c r="F12" s="52"/>
    </row>
    <row r="13" spans="1:9" ht="21" x14ac:dyDescent="0.4">
      <c r="A13" s="9"/>
      <c r="B13" s="9"/>
    </row>
    <row r="14" spans="1:9" ht="21.6" thickBot="1" x14ac:dyDescent="0.45">
      <c r="A14" s="9" t="s">
        <v>25</v>
      </c>
      <c r="B14" s="9"/>
      <c r="C14" s="9"/>
      <c r="H14" s="9"/>
    </row>
    <row r="15" spans="1:9" ht="30.75" customHeight="1" thickBot="1" x14ac:dyDescent="0.35">
      <c r="A15" s="11" t="s">
        <v>1</v>
      </c>
      <c r="B15" s="12" t="str">
        <f>Gegevens!B10</f>
        <v>van</v>
      </c>
      <c r="C15" s="12" t="str">
        <f>Gegevens!C10</f>
        <v>t/m</v>
      </c>
      <c r="D15" s="13" t="s">
        <v>2</v>
      </c>
      <c r="E15" s="13" t="s">
        <v>28</v>
      </c>
      <c r="F15" s="14" t="s">
        <v>29</v>
      </c>
      <c r="G15" s="15" t="s">
        <v>15</v>
      </c>
      <c r="H15" s="15" t="s">
        <v>27</v>
      </c>
      <c r="I15" s="16"/>
    </row>
    <row r="16" spans="1:9" ht="15.75" customHeight="1" x14ac:dyDescent="0.3">
      <c r="A16" s="17" t="str">
        <f>IF('Berekening-nw'!J21=0,"",'Berekening-nw'!J20)</f>
        <v>2020-12</v>
      </c>
      <c r="B16" s="18">
        <f>IF('Berekening-nw'!J21=0,"",Gegevens!B11)</f>
        <v>44172</v>
      </c>
      <c r="C16" s="19">
        <f>IF('Berekening-nw'!J21=0,"",Gegevens!C11)</f>
        <v>44199</v>
      </c>
      <c r="D16" s="40" t="s">
        <v>79</v>
      </c>
      <c r="E16" s="40">
        <v>50</v>
      </c>
      <c r="F16" s="20" t="e">
        <f ca="1">IF('Berekening-nw'!J21=0,"",'Berekening-nw'!K21)</f>
        <v>#VALUE!</v>
      </c>
      <c r="G16" s="21" t="e">
        <f ca="1">IF('Berekening-nw'!J21=0,"",'Berekening-nw'!M21)</f>
        <v>#VALUE!</v>
      </c>
      <c r="H16" s="21">
        <f ca="1">IF('Berekening-nw'!J21=0,"",'Berekening-nw'!Q21)</f>
        <v>44.64</v>
      </c>
      <c r="I16" s="16"/>
    </row>
    <row r="17" spans="1:13" ht="13.5" customHeight="1" x14ac:dyDescent="0.3">
      <c r="A17" s="22">
        <f>Gegevens!A12</f>
        <v>1</v>
      </c>
      <c r="B17" s="23">
        <f>Gegevens!B12</f>
        <v>44200</v>
      </c>
      <c r="C17" s="23">
        <f>Gegevens!C12</f>
        <v>44227</v>
      </c>
      <c r="D17" s="41">
        <v>100</v>
      </c>
      <c r="E17" s="41">
        <v>50</v>
      </c>
      <c r="F17" s="20" t="str">
        <f>'Berekening-nw'!K22</f>
        <v>januari 2021</v>
      </c>
      <c r="G17" s="24" t="e">
        <f ca="1">'Berekening-nw'!M22</f>
        <v>#VALUE!</v>
      </c>
      <c r="H17" s="24">
        <f ca="1">'Berekening-nw'!Q22</f>
        <v>55.36</v>
      </c>
      <c r="I17" s="16"/>
    </row>
    <row r="18" spans="1:13" x14ac:dyDescent="0.3">
      <c r="A18" s="22">
        <f>A17+1</f>
        <v>2</v>
      </c>
      <c r="B18" s="23">
        <f>Gegevens!B13</f>
        <v>44228</v>
      </c>
      <c r="C18" s="23">
        <f>Gegevens!C13</f>
        <v>44255</v>
      </c>
      <c r="D18" s="41">
        <v>75</v>
      </c>
      <c r="E18" s="41">
        <v>50</v>
      </c>
      <c r="F18" s="20" t="str">
        <f>'Berekening-nw'!K23</f>
        <v>februari 2021</v>
      </c>
      <c r="G18" s="24">
        <f ca="1">'Berekening-nw'!M23</f>
        <v>75</v>
      </c>
      <c r="H18" s="24">
        <f ca="1">'Berekening-nw'!Q23</f>
        <v>50</v>
      </c>
    </row>
    <row r="19" spans="1:13" x14ac:dyDescent="0.3">
      <c r="A19" s="22">
        <f t="shared" ref="A19:A30" si="0">A18+1</f>
        <v>3</v>
      </c>
      <c r="B19" s="23">
        <f>Gegevens!B14</f>
        <v>44256</v>
      </c>
      <c r="C19" s="23">
        <f>Gegevens!C14</f>
        <v>44283</v>
      </c>
      <c r="D19" s="42">
        <v>75</v>
      </c>
      <c r="E19" s="42">
        <v>50</v>
      </c>
      <c r="F19" s="20" t="str">
        <f>'Berekening-nw'!K24</f>
        <v>maart 2021</v>
      </c>
      <c r="G19" s="24">
        <f ca="1">'Berekening-nw'!M24</f>
        <v>83.039999999999992</v>
      </c>
      <c r="H19" s="24">
        <f ca="1">'Berekening-nw'!Q24</f>
        <v>55.36</v>
      </c>
      <c r="I19" s="25"/>
    </row>
    <row r="20" spans="1:13" x14ac:dyDescent="0.3">
      <c r="A20" s="22">
        <f t="shared" si="0"/>
        <v>4</v>
      </c>
      <c r="B20" s="23">
        <f>Gegevens!B15</f>
        <v>44284</v>
      </c>
      <c r="C20" s="23">
        <f>Gegevens!C15</f>
        <v>44311</v>
      </c>
      <c r="D20" s="42">
        <v>75</v>
      </c>
      <c r="E20" s="42">
        <v>50</v>
      </c>
      <c r="F20" s="20" t="str">
        <f>'Berekening-nw'!K25</f>
        <v>april 2021</v>
      </c>
      <c r="G20" s="24">
        <f ca="1">'Berekening-nw'!M25</f>
        <v>84.82</v>
      </c>
      <c r="H20" s="24">
        <f ca="1">'Berekening-nw'!Q25</f>
        <v>53.57</v>
      </c>
      <c r="I20" s="25"/>
    </row>
    <row r="21" spans="1:13" x14ac:dyDescent="0.3">
      <c r="A21" s="22">
        <f t="shared" si="0"/>
        <v>5</v>
      </c>
      <c r="B21" s="23">
        <f>Gegevens!B16</f>
        <v>44312</v>
      </c>
      <c r="C21" s="23">
        <f>Gegevens!C16</f>
        <v>44339</v>
      </c>
      <c r="D21" s="42">
        <v>100</v>
      </c>
      <c r="E21" s="42">
        <v>50</v>
      </c>
      <c r="F21" s="20" t="str">
        <f>'Berekening-nw'!K26</f>
        <v>mei 2021</v>
      </c>
      <c r="G21" s="24">
        <f ca="1">'Berekening-nw'!M26</f>
        <v>96.43</v>
      </c>
      <c r="H21" s="24">
        <f ca="1">'Berekening-nw'!Q26</f>
        <v>55.36</v>
      </c>
      <c r="I21" s="25"/>
    </row>
    <row r="22" spans="1:13" x14ac:dyDescent="0.3">
      <c r="A22" s="22">
        <f t="shared" si="0"/>
        <v>6</v>
      </c>
      <c r="B22" s="23">
        <f>Gegevens!B17</f>
        <v>44340</v>
      </c>
      <c r="C22" s="23">
        <f>Gegevens!C17</f>
        <v>44367</v>
      </c>
      <c r="D22" s="42">
        <v>50</v>
      </c>
      <c r="E22" s="42">
        <v>50</v>
      </c>
      <c r="F22" s="20" t="str">
        <f>'Berekening-nw'!K27</f>
        <v>juni 2021</v>
      </c>
      <c r="G22" s="24">
        <f ca="1">'Berekening-nw'!M27</f>
        <v>53.57</v>
      </c>
      <c r="H22" s="24">
        <f ca="1">'Berekening-nw'!Q27</f>
        <v>53.57</v>
      </c>
      <c r="I22" s="25"/>
    </row>
    <row r="23" spans="1:13" x14ac:dyDescent="0.3">
      <c r="A23" s="22">
        <f t="shared" si="0"/>
        <v>7</v>
      </c>
      <c r="B23" s="23">
        <f>Gegevens!B18</f>
        <v>44368</v>
      </c>
      <c r="C23" s="23">
        <f>Gegevens!C18</f>
        <v>44395</v>
      </c>
      <c r="D23" s="42">
        <v>50</v>
      </c>
      <c r="E23" s="42">
        <v>50</v>
      </c>
      <c r="F23" s="20" t="str">
        <f>'Berekening-nw'!K28</f>
        <v>juli 2021</v>
      </c>
      <c r="G23" s="24">
        <f ca="1">'Berekening-nw'!M28</f>
        <v>55.35</v>
      </c>
      <c r="H23" s="24">
        <f ca="1">'Berekening-nw'!Q28</f>
        <v>55.35</v>
      </c>
      <c r="I23" s="25"/>
    </row>
    <row r="24" spans="1:13" x14ac:dyDescent="0.3">
      <c r="A24" s="22">
        <f t="shared" si="0"/>
        <v>8</v>
      </c>
      <c r="B24" s="23">
        <f>Gegevens!B19</f>
        <v>44396</v>
      </c>
      <c r="C24" s="23">
        <f>Gegevens!C19</f>
        <v>44423</v>
      </c>
      <c r="D24" s="42">
        <v>50</v>
      </c>
      <c r="E24" s="42">
        <v>50</v>
      </c>
      <c r="F24" s="20" t="str">
        <f>'Berekening-nw'!K29</f>
        <v>augustus 2021</v>
      </c>
      <c r="G24" s="24">
        <f ca="1">'Berekening-nw'!M29</f>
        <v>55.36</v>
      </c>
      <c r="H24" s="24">
        <f ca="1">'Berekening-nw'!Q29</f>
        <v>55.36</v>
      </c>
      <c r="I24" s="25"/>
    </row>
    <row r="25" spans="1:13" x14ac:dyDescent="0.3">
      <c r="A25" s="22">
        <f t="shared" si="0"/>
        <v>9</v>
      </c>
      <c r="B25" s="23">
        <f>Gegevens!B20</f>
        <v>44424</v>
      </c>
      <c r="C25" s="23">
        <f>Gegevens!C20</f>
        <v>44451</v>
      </c>
      <c r="D25" s="42">
        <v>50</v>
      </c>
      <c r="E25" s="42">
        <v>50</v>
      </c>
      <c r="F25" s="20" t="str">
        <f>'Berekening-nw'!K30</f>
        <v>september 2021</v>
      </c>
      <c r="G25" s="24">
        <f ca="1">'Berekening-nw'!M30</f>
        <v>53.57</v>
      </c>
      <c r="H25" s="24">
        <f ca="1">'Berekening-nw'!Q30</f>
        <v>53.57</v>
      </c>
      <c r="I25" s="25"/>
      <c r="M25" s="25"/>
    </row>
    <row r="26" spans="1:13" x14ac:dyDescent="0.3">
      <c r="A26" s="22">
        <f t="shared" si="0"/>
        <v>10</v>
      </c>
      <c r="B26" s="23">
        <f>Gegevens!B21</f>
        <v>44452</v>
      </c>
      <c r="C26" s="23">
        <f>Gegevens!C21</f>
        <v>44479</v>
      </c>
      <c r="D26" s="42">
        <v>50</v>
      </c>
      <c r="E26" s="42">
        <v>50</v>
      </c>
      <c r="F26" s="20" t="str">
        <f>'Berekening-nw'!K31</f>
        <v>oktober 2021</v>
      </c>
      <c r="G26" s="24">
        <f ca="1">'Berekening-nw'!M31</f>
        <v>55.36</v>
      </c>
      <c r="H26" s="24">
        <f ca="1">'Berekening-nw'!Q31</f>
        <v>55.36</v>
      </c>
      <c r="I26" s="25"/>
    </row>
    <row r="27" spans="1:13" x14ac:dyDescent="0.3">
      <c r="A27" s="22">
        <f t="shared" si="0"/>
        <v>11</v>
      </c>
      <c r="B27" s="23">
        <f>Gegevens!B22</f>
        <v>44480</v>
      </c>
      <c r="C27" s="23">
        <f>Gegevens!C22</f>
        <v>44507</v>
      </c>
      <c r="D27" s="42">
        <v>50</v>
      </c>
      <c r="E27" s="42">
        <v>50</v>
      </c>
      <c r="F27" s="20" t="str">
        <f>'Berekening-nw'!K32</f>
        <v>november 2021</v>
      </c>
      <c r="G27" s="24">
        <f ca="1">'Berekening-nw'!M32</f>
        <v>53.57</v>
      </c>
      <c r="H27" s="24">
        <f ca="1">'Berekening-nw'!Q32</f>
        <v>53.57</v>
      </c>
      <c r="I27" s="25"/>
    </row>
    <row r="28" spans="1:13" x14ac:dyDescent="0.3">
      <c r="A28" s="22">
        <f t="shared" si="0"/>
        <v>12</v>
      </c>
      <c r="B28" s="23">
        <f>Gegevens!B23</f>
        <v>44508</v>
      </c>
      <c r="C28" s="23">
        <f>Gegevens!C23</f>
        <v>44535</v>
      </c>
      <c r="D28" s="42">
        <v>50</v>
      </c>
      <c r="E28" s="42">
        <v>50</v>
      </c>
      <c r="F28" s="20" t="str">
        <f>'Berekening-nw'!K33</f>
        <v>december 2021</v>
      </c>
      <c r="G28" s="24">
        <f ca="1">'Berekening-nw'!M33</f>
        <v>55.36</v>
      </c>
      <c r="H28" s="24">
        <f ca="1">'Berekening-nw'!Q33</f>
        <v>55.36</v>
      </c>
      <c r="I28" s="25"/>
    </row>
    <row r="29" spans="1:13" x14ac:dyDescent="0.3">
      <c r="A29" s="22">
        <f t="shared" si="0"/>
        <v>13</v>
      </c>
      <c r="B29" s="23">
        <f>Gegevens!B24</f>
        <v>44536</v>
      </c>
      <c r="C29" s="23">
        <f>Gegevens!C24</f>
        <v>44563</v>
      </c>
      <c r="D29" s="42">
        <v>50</v>
      </c>
      <c r="E29" s="42">
        <v>50</v>
      </c>
      <c r="F29" s="20" t="str">
        <f>'Berekening-nw'!K34</f>
        <v>januari 2022</v>
      </c>
      <c r="G29" s="24">
        <f ca="1">'Berekening-nw'!M34</f>
        <v>3.57</v>
      </c>
      <c r="H29" s="24">
        <f ca="1">'Berekening-nw'!Q34</f>
        <v>3.57</v>
      </c>
      <c r="I29" s="25"/>
    </row>
    <row r="30" spans="1:13" x14ac:dyDescent="0.3">
      <c r="A30" s="22">
        <f t="shared" si="0"/>
        <v>14</v>
      </c>
      <c r="B30" s="23">
        <f>Gegevens!B25</f>
        <v>44564</v>
      </c>
      <c r="C30" s="23">
        <f>Gegevens!C25</f>
        <v>44591</v>
      </c>
      <c r="D30" s="42"/>
      <c r="E30" s="42"/>
      <c r="F30" s="20"/>
      <c r="G30" s="24"/>
      <c r="H30" s="24"/>
      <c r="I30" s="25"/>
    </row>
    <row r="31" spans="1:13" ht="15" thickBot="1" x14ac:dyDescent="0.35">
      <c r="A31" s="22"/>
      <c r="B31" s="23" t="str">
        <f>IF(Gegevens!B26=0,"",Gegevens!B26)</f>
        <v/>
      </c>
      <c r="C31" s="23" t="str">
        <f>IF(Gegevens!C26=0,"",Gegevens!C26)</f>
        <v/>
      </c>
      <c r="D31" s="26"/>
      <c r="E31" s="27"/>
      <c r="F31" s="28"/>
      <c r="G31" s="29"/>
      <c r="H31" s="30"/>
      <c r="I31" s="25"/>
    </row>
    <row r="32" spans="1:13" ht="15" thickBot="1" x14ac:dyDescent="0.35">
      <c r="A32" s="31"/>
      <c r="B32" s="32"/>
      <c r="C32" s="32"/>
      <c r="D32" s="33">
        <f>SUM(D16:D31)</f>
        <v>825</v>
      </c>
      <c r="E32" s="33">
        <f>SUM(E16:E31)</f>
        <v>700</v>
      </c>
      <c r="G32" s="34" t="e">
        <f ca="1">SUM(G16:G31)</f>
        <v>#VALUE!</v>
      </c>
      <c r="H32" s="34">
        <f ca="1">SUM(H16:H31)</f>
        <v>700.00000000000023</v>
      </c>
      <c r="I32" s="25"/>
    </row>
    <row r="33" spans="1:5" ht="15" thickBot="1" x14ac:dyDescent="0.35"/>
    <row r="34" spans="1:5" ht="18.600000000000001" thickBot="1" x14ac:dyDescent="0.4">
      <c r="A34" s="47" t="s">
        <v>24</v>
      </c>
      <c r="B34" s="43"/>
      <c r="C34" s="43"/>
      <c r="D34" s="44"/>
      <c r="E34" s="45"/>
    </row>
    <row r="35" spans="1:5" x14ac:dyDescent="0.3">
      <c r="A35" s="35" t="str">
        <f>"Inkomsten "&amp;H6-1</f>
        <v>Inkomsten 2020</v>
      </c>
      <c r="E35" s="21" t="e">
        <f ca="1">G16</f>
        <v>#VALUE!</v>
      </c>
    </row>
    <row r="36" spans="1:5" x14ac:dyDescent="0.3">
      <c r="A36" s="35" t="str">
        <f>"Inkomsten "&amp;H6</f>
        <v>Inkomsten 2021</v>
      </c>
      <c r="E36" s="24" t="e">
        <f ca="1">SUM(G17:G28)</f>
        <v>#VALUE!</v>
      </c>
    </row>
    <row r="37" spans="1:5" x14ac:dyDescent="0.3">
      <c r="A37" s="35" t="str">
        <f>"Inkomsten "&amp;H6+1</f>
        <v>Inkomsten 2022</v>
      </c>
      <c r="E37" s="30">
        <f ca="1">G29</f>
        <v>3.57</v>
      </c>
    </row>
    <row r="38" spans="1:5" ht="15" thickBot="1" x14ac:dyDescent="0.35">
      <c r="A38" s="36" t="s">
        <v>23</v>
      </c>
      <c r="B38" s="37"/>
      <c r="C38" s="37"/>
      <c r="D38" s="38"/>
      <c r="E38" s="34" t="e">
        <f ca="1">SUM(E35:E37)</f>
        <v>#VALUE!</v>
      </c>
    </row>
    <row r="39" spans="1:5" ht="15" thickBot="1" x14ac:dyDescent="0.35">
      <c r="B39" s="39"/>
      <c r="C39" s="39"/>
    </row>
    <row r="40" spans="1:5" ht="18.600000000000001" thickBot="1" x14ac:dyDescent="0.4">
      <c r="A40" s="47" t="s">
        <v>59</v>
      </c>
      <c r="B40" s="44"/>
      <c r="C40" s="45"/>
      <c r="D40" s="44"/>
      <c r="E40" s="46"/>
    </row>
    <row r="41" spans="1:5" x14ac:dyDescent="0.3">
      <c r="A41" s="35" t="str">
        <f>"Fiscaal loon "&amp;H6-1</f>
        <v>Fiscaal loon 2020</v>
      </c>
      <c r="E41" s="21">
        <f ca="1">H16</f>
        <v>44.64</v>
      </c>
    </row>
    <row r="42" spans="1:5" x14ac:dyDescent="0.3">
      <c r="A42" s="35" t="str">
        <f>"Fiscaal loon "&amp;H6</f>
        <v>Fiscaal loon 2021</v>
      </c>
      <c r="E42" s="24">
        <f ca="1">SUM(H17:H28)</f>
        <v>651.79000000000008</v>
      </c>
    </row>
    <row r="43" spans="1:5" x14ac:dyDescent="0.3">
      <c r="A43" s="35" t="str">
        <f>"Fiscaal loon "&amp;H6+1</f>
        <v>Fiscaal loon 2022</v>
      </c>
      <c r="E43" s="30">
        <f ca="1">H29</f>
        <v>3.57</v>
      </c>
    </row>
    <row r="44" spans="1:5" ht="15" thickBot="1" x14ac:dyDescent="0.35">
      <c r="A44" s="36" t="s">
        <v>23</v>
      </c>
      <c r="B44" s="38"/>
      <c r="C44" s="38"/>
      <c r="D44" s="38"/>
      <c r="E44" s="34">
        <f ca="1">SUM(E41:E43)</f>
        <v>700.00000000000011</v>
      </c>
    </row>
    <row r="47" spans="1:5" x14ac:dyDescent="0.3">
      <c r="A47" s="39" t="s">
        <v>78</v>
      </c>
    </row>
    <row r="48" spans="1:5" x14ac:dyDescent="0.3">
      <c r="A48" s="39"/>
    </row>
  </sheetData>
  <sheetProtection algorithmName="SHA-512" hashValue="DzUfgwkxUqXnvcv+dN3dLkbzjA0/Kb3/Uo3bHQf8DtcKXZK59LiX3nnHS5bYN8zjcHdHwNXiGdNJDA/UHJJOIA==" saltValue="b2YG8uw/1OrPQcI+VOII1w==" spinCount="100000" sheet="1" objects="1" scenarios="1"/>
  <mergeCells count="4">
    <mergeCell ref="C6:E6"/>
    <mergeCell ref="C9:F9"/>
    <mergeCell ref="C10:F10"/>
    <mergeCell ref="C12:F12"/>
  </mergeCells>
  <pageMargins left="0.39370078740157483" right="0.39370078740157483" top="0.74803149606299213" bottom="0.74803149606299213" header="0.31496062992125984" footer="0.31496062992125984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0"/>
  <sheetViews>
    <sheetView showGridLines="0" workbookViewId="0">
      <selection activeCell="D26" sqref="D26:D27"/>
    </sheetView>
  </sheetViews>
  <sheetFormatPr defaultColWidth="9.109375" defaultRowHeight="14.4" x14ac:dyDescent="0.3"/>
  <cols>
    <col min="1" max="1" width="9.109375" style="61"/>
    <col min="2" max="3" width="10.44140625" style="61" bestFit="1" customWidth="1"/>
    <col min="4" max="4" width="9.109375" style="61"/>
    <col min="5" max="5" width="10.5546875" style="61" customWidth="1"/>
    <col min="6" max="6" width="9.109375" style="61" customWidth="1"/>
    <col min="7" max="7" width="10.44140625" style="61" customWidth="1"/>
    <col min="8" max="16384" width="9.109375" style="61"/>
  </cols>
  <sheetData>
    <row r="3" spans="1:7" ht="15" thickBot="1" x14ac:dyDescent="0.35"/>
    <row r="4" spans="1:7" ht="15" thickBot="1" x14ac:dyDescent="0.35">
      <c r="A4" s="62" t="s">
        <v>16</v>
      </c>
      <c r="B4" s="63">
        <v>2021</v>
      </c>
    </row>
    <row r="6" spans="1:7" x14ac:dyDescent="0.3">
      <c r="A6" s="62" t="str">
        <f>"Startdatum eerste 4 wekelijkse periode in "&amp;B4</f>
        <v>Startdatum eerste 4 wekelijkse periode in 2021</v>
      </c>
    </row>
    <row r="7" spans="1:7" ht="15" thickBot="1" x14ac:dyDescent="0.35"/>
    <row r="8" spans="1:7" ht="15" thickBot="1" x14ac:dyDescent="0.35">
      <c r="B8" s="64">
        <v>44200</v>
      </c>
    </row>
    <row r="9" spans="1:7" ht="15" thickBot="1" x14ac:dyDescent="0.35"/>
    <row r="10" spans="1:7" ht="15.6" thickTop="1" thickBot="1" x14ac:dyDescent="0.35">
      <c r="A10" s="65" t="s">
        <v>19</v>
      </c>
      <c r="B10" s="66" t="s">
        <v>17</v>
      </c>
      <c r="C10" s="67" t="s">
        <v>18</v>
      </c>
    </row>
    <row r="11" spans="1:7" ht="15" thickTop="1" x14ac:dyDescent="0.3">
      <c r="A11" s="68" t="str">
        <f>"13-"&amp;B4-1</f>
        <v>13-2020</v>
      </c>
      <c r="B11" s="69">
        <f>B12-28</f>
        <v>44172</v>
      </c>
      <c r="C11" s="69">
        <f>B11+27</f>
        <v>44199</v>
      </c>
    </row>
    <row r="12" spans="1:7" x14ac:dyDescent="0.3">
      <c r="A12" s="70">
        <v>1</v>
      </c>
      <c r="B12" s="71">
        <f>B8</f>
        <v>44200</v>
      </c>
      <c r="C12" s="72">
        <f>B12+27</f>
        <v>44227</v>
      </c>
    </row>
    <row r="13" spans="1:7" x14ac:dyDescent="0.3">
      <c r="A13" s="73">
        <f>A12+1</f>
        <v>2</v>
      </c>
      <c r="B13" s="71">
        <f>C12+1</f>
        <v>44228</v>
      </c>
      <c r="C13" s="71">
        <f>C12+28</f>
        <v>44255</v>
      </c>
      <c r="E13" s="74"/>
      <c r="G13" s="75"/>
    </row>
    <row r="14" spans="1:7" x14ac:dyDescent="0.3">
      <c r="A14" s="73">
        <f t="shared" ref="A14:A25" si="0">A13+1</f>
        <v>3</v>
      </c>
      <c r="B14" s="71">
        <f>C13+1</f>
        <v>44256</v>
      </c>
      <c r="C14" s="71">
        <f>C13+28</f>
        <v>44283</v>
      </c>
      <c r="E14" s="74"/>
      <c r="G14" s="75"/>
    </row>
    <row r="15" spans="1:7" x14ac:dyDescent="0.3">
      <c r="A15" s="73">
        <f t="shared" si="0"/>
        <v>4</v>
      </c>
      <c r="B15" s="71">
        <f t="shared" ref="B15:B25" si="1">C14+1</f>
        <v>44284</v>
      </c>
      <c r="C15" s="71">
        <f t="shared" ref="C15:C25" si="2">C14+28</f>
        <v>44311</v>
      </c>
      <c r="E15" s="74"/>
      <c r="G15" s="75"/>
    </row>
    <row r="16" spans="1:7" x14ac:dyDescent="0.3">
      <c r="A16" s="73">
        <f t="shared" si="0"/>
        <v>5</v>
      </c>
      <c r="B16" s="71">
        <f t="shared" si="1"/>
        <v>44312</v>
      </c>
      <c r="C16" s="71">
        <f t="shared" si="2"/>
        <v>44339</v>
      </c>
      <c r="E16" s="74"/>
      <c r="G16" s="75"/>
    </row>
    <row r="17" spans="1:7" x14ac:dyDescent="0.3">
      <c r="A17" s="73">
        <f t="shared" si="0"/>
        <v>6</v>
      </c>
      <c r="B17" s="71">
        <f t="shared" si="1"/>
        <v>44340</v>
      </c>
      <c r="C17" s="71">
        <f t="shared" si="2"/>
        <v>44367</v>
      </c>
      <c r="E17" s="74"/>
      <c r="G17" s="75"/>
    </row>
    <row r="18" spans="1:7" x14ac:dyDescent="0.3">
      <c r="A18" s="73">
        <f t="shared" si="0"/>
        <v>7</v>
      </c>
      <c r="B18" s="71">
        <f t="shared" si="1"/>
        <v>44368</v>
      </c>
      <c r="C18" s="71">
        <f t="shared" si="2"/>
        <v>44395</v>
      </c>
      <c r="E18" s="74"/>
      <c r="G18" s="75"/>
    </row>
    <row r="19" spans="1:7" x14ac:dyDescent="0.3">
      <c r="A19" s="73">
        <f t="shared" si="0"/>
        <v>8</v>
      </c>
      <c r="B19" s="71">
        <f t="shared" si="1"/>
        <v>44396</v>
      </c>
      <c r="C19" s="71">
        <f t="shared" si="2"/>
        <v>44423</v>
      </c>
      <c r="E19" s="74"/>
      <c r="G19" s="75"/>
    </row>
    <row r="20" spans="1:7" x14ac:dyDescent="0.3">
      <c r="A20" s="73">
        <f t="shared" si="0"/>
        <v>9</v>
      </c>
      <c r="B20" s="71">
        <f t="shared" si="1"/>
        <v>44424</v>
      </c>
      <c r="C20" s="71">
        <f t="shared" si="2"/>
        <v>44451</v>
      </c>
      <c r="E20" s="74"/>
      <c r="G20" s="75"/>
    </row>
    <row r="21" spans="1:7" x14ac:dyDescent="0.3">
      <c r="A21" s="73">
        <f t="shared" si="0"/>
        <v>10</v>
      </c>
      <c r="B21" s="71">
        <f t="shared" si="1"/>
        <v>44452</v>
      </c>
      <c r="C21" s="71">
        <f t="shared" si="2"/>
        <v>44479</v>
      </c>
      <c r="E21" s="74"/>
      <c r="G21" s="75"/>
    </row>
    <row r="22" spans="1:7" x14ac:dyDescent="0.3">
      <c r="A22" s="73">
        <f t="shared" si="0"/>
        <v>11</v>
      </c>
      <c r="B22" s="71">
        <f t="shared" si="1"/>
        <v>44480</v>
      </c>
      <c r="C22" s="71">
        <f t="shared" si="2"/>
        <v>44507</v>
      </c>
      <c r="E22" s="74"/>
      <c r="G22" s="75"/>
    </row>
    <row r="23" spans="1:7" x14ac:dyDescent="0.3">
      <c r="A23" s="73">
        <f t="shared" si="0"/>
        <v>12</v>
      </c>
      <c r="B23" s="71">
        <f t="shared" si="1"/>
        <v>44508</v>
      </c>
      <c r="C23" s="71">
        <f t="shared" si="2"/>
        <v>44535</v>
      </c>
      <c r="E23" s="74"/>
      <c r="G23" s="75"/>
    </row>
    <row r="24" spans="1:7" x14ac:dyDescent="0.3">
      <c r="A24" s="73">
        <f t="shared" si="0"/>
        <v>13</v>
      </c>
      <c r="B24" s="71">
        <f t="shared" si="1"/>
        <v>44536</v>
      </c>
      <c r="C24" s="71">
        <f t="shared" si="2"/>
        <v>44563</v>
      </c>
      <c r="E24" s="74"/>
      <c r="G24" s="75"/>
    </row>
    <row r="25" spans="1:7" x14ac:dyDescent="0.3">
      <c r="A25" s="73">
        <f t="shared" si="0"/>
        <v>14</v>
      </c>
      <c r="B25" s="71">
        <f t="shared" si="1"/>
        <v>44564</v>
      </c>
      <c r="C25" s="71">
        <f t="shared" si="2"/>
        <v>44591</v>
      </c>
      <c r="E25" s="74"/>
      <c r="G25" s="75"/>
    </row>
    <row r="26" spans="1:7" ht="15" thickBot="1" x14ac:dyDescent="0.35">
      <c r="A26" s="76"/>
      <c r="B26" s="77"/>
      <c r="C26" s="77"/>
      <c r="G26" s="75"/>
    </row>
    <row r="27" spans="1:7" ht="15" thickTop="1" x14ac:dyDescent="0.3">
      <c r="G27" s="75"/>
    </row>
    <row r="28" spans="1:7" x14ac:dyDescent="0.3">
      <c r="G28" s="75"/>
    </row>
    <row r="29" spans="1:7" x14ac:dyDescent="0.3">
      <c r="A29" s="78" t="str">
        <f>Inkomsten!A47</f>
        <v>© Wyzer</v>
      </c>
      <c r="G29" s="75"/>
    </row>
    <row r="30" spans="1:7" x14ac:dyDescent="0.3">
      <c r="A30" s="78"/>
    </row>
  </sheetData>
  <sheetProtection algorithmName="SHA-512" hashValue="XySot5w13PZGAaVo9Rylh34OhPDljcxK990RLwt+dtjhqOU/HkfMrgVjF2Wp6MSe8cXjZFsbmC1u4Yz7V6oajA==" saltValue="ChyygzjfdqaXz+AIbU1bgQ==" spinCount="100000" sheet="1" objects="1" scenarios="1"/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558C-9877-47A4-895A-D599B64E1E9F}">
  <dimension ref="A1:Y66"/>
  <sheetViews>
    <sheetView workbookViewId="0">
      <selection sqref="A1:XFD1048576"/>
    </sheetView>
  </sheetViews>
  <sheetFormatPr defaultColWidth="9.109375" defaultRowHeight="14.4" x14ac:dyDescent="0.3"/>
  <cols>
    <col min="1" max="2" width="10.44140625" style="1" bestFit="1" customWidth="1"/>
    <col min="3" max="5" width="9.109375" style="1"/>
    <col min="6" max="6" width="10.44140625" style="1" bestFit="1" customWidth="1"/>
    <col min="7" max="7" width="10.88671875" style="1" customWidth="1"/>
    <col min="8" max="9" width="9.109375" style="1"/>
    <col min="10" max="10" width="13" style="1" customWidth="1"/>
    <col min="11" max="11" width="9.44140625" style="1" bestFit="1" customWidth="1"/>
    <col min="12" max="12" width="10.44140625" style="1" bestFit="1" customWidth="1"/>
    <col min="13" max="13" width="10.5546875" style="1" bestFit="1" customWidth="1"/>
    <col min="14" max="14" width="9.109375" style="1"/>
    <col min="15" max="15" width="9.44140625" style="1" bestFit="1" customWidth="1"/>
    <col min="16" max="16" width="9.109375" style="1"/>
    <col min="17" max="17" width="10.44140625" style="1" bestFit="1" customWidth="1"/>
    <col min="18" max="18" width="10.6640625" style="1" bestFit="1" customWidth="1"/>
    <col min="19" max="19" width="9.44140625" style="1" bestFit="1" customWidth="1"/>
    <col min="20" max="16384" width="9.109375" style="1"/>
  </cols>
  <sheetData>
    <row r="1" spans="1:25" x14ac:dyDescent="0.3">
      <c r="A1" s="1" t="s">
        <v>63</v>
      </c>
      <c r="B1" s="2">
        <f>Gegevens!B4</f>
        <v>2021</v>
      </c>
    </row>
    <row r="2" spans="1:25" x14ac:dyDescent="0.3">
      <c r="C2" s="1" t="s">
        <v>20</v>
      </c>
      <c r="D2" s="1" t="s">
        <v>61</v>
      </c>
      <c r="E2" s="1" t="s">
        <v>62</v>
      </c>
      <c r="F2" s="1" t="s">
        <v>64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69</v>
      </c>
      <c r="R2" s="1" t="s">
        <v>75</v>
      </c>
      <c r="S2" s="1" t="s">
        <v>20</v>
      </c>
    </row>
    <row r="3" spans="1:25" x14ac:dyDescent="0.3">
      <c r="A3" s="3">
        <f>Gegevens!B11</f>
        <v>44172</v>
      </c>
      <c r="B3" s="3">
        <f>Gegevens!C11</f>
        <v>44199</v>
      </c>
      <c r="C3" s="1">
        <f>B3-A3+1</f>
        <v>28</v>
      </c>
      <c r="D3" s="1">
        <f>YEAR(A3)</f>
        <v>2020</v>
      </c>
      <c r="E3" s="1">
        <f>YEAR(B3)</f>
        <v>2021</v>
      </c>
      <c r="F3" s="1">
        <f>MONTH(A3)</f>
        <v>12</v>
      </c>
      <c r="G3" s="1">
        <f>MONTH(B3)</f>
        <v>1</v>
      </c>
      <c r="H3" s="1">
        <f t="shared" ref="H3:H17" si="0">VLOOKUP(F3,$Q$4:$S$15,3)</f>
        <v>31</v>
      </c>
      <c r="I3" s="1">
        <f t="shared" ref="I3:I17" si="1">VLOOKUP(G3,$Q$4:$S$15,3)</f>
        <v>31</v>
      </c>
      <c r="J3" s="1">
        <f>IF(F3=G3,DAY(B3)-DAY(A3)+1,H3-DAY(A3)+1)</f>
        <v>25</v>
      </c>
      <c r="K3" s="1">
        <f>C3-J3</f>
        <v>3</v>
      </c>
      <c r="Q3" s="1">
        <v>13</v>
      </c>
      <c r="R3" s="1" t="s">
        <v>14</v>
      </c>
      <c r="S3" s="1">
        <v>31</v>
      </c>
      <c r="U3" s="1" t="s">
        <v>14</v>
      </c>
      <c r="W3" s="1">
        <f>VLOOKUP(B1,X3:Y10,2,FALSE)</f>
        <v>28</v>
      </c>
      <c r="X3" s="1">
        <v>2016</v>
      </c>
      <c r="Y3" s="1">
        <v>29</v>
      </c>
    </row>
    <row r="4" spans="1:25" x14ac:dyDescent="0.3">
      <c r="A4" s="3">
        <f>Gegevens!B12</f>
        <v>44200</v>
      </c>
      <c r="B4" s="3">
        <f>Gegevens!C12</f>
        <v>44227</v>
      </c>
      <c r="C4" s="1">
        <f>B4-A4+1</f>
        <v>28</v>
      </c>
      <c r="D4" s="1">
        <f>YEAR(A4)</f>
        <v>2021</v>
      </c>
      <c r="E4" s="1">
        <f>YEAR(B4)</f>
        <v>2021</v>
      </c>
      <c r="F4" s="1">
        <f>MONTH(A4)</f>
        <v>1</v>
      </c>
      <c r="G4" s="1">
        <f>MONTH(B4)</f>
        <v>1</v>
      </c>
      <c r="H4" s="1">
        <f t="shared" si="0"/>
        <v>31</v>
      </c>
      <c r="I4" s="1">
        <f t="shared" si="1"/>
        <v>31</v>
      </c>
      <c r="J4" s="1">
        <f>IF(F4=G4,DAY(B4)-DAY(A4)+1,H4-DAY(A4)+1)</f>
        <v>28</v>
      </c>
      <c r="K4" s="1">
        <f>C4-J4</f>
        <v>0</v>
      </c>
      <c r="Q4" s="1">
        <v>1</v>
      </c>
      <c r="R4" s="1" t="s">
        <v>3</v>
      </c>
      <c r="S4" s="1">
        <f t="shared" ref="S4:S15" si="2">IF(R4=$U$4,31,IF(R4=$U$5,$W$3,IF(R4=$U$6,31,IF(R4=$U$7,30,IF(R4=$U$8,31,IF(R4=$U$9,30,IF(R4=$U$10,31,IF(R4=$U$11,31,IF(R4=$U$12,30,IF(R4=$U$13,31,IF(R4=$U$14,30,IF(R4=$U$15,31))))))))))))</f>
        <v>31</v>
      </c>
      <c r="U4" s="1" t="s">
        <v>3</v>
      </c>
      <c r="X4" s="1">
        <v>2017</v>
      </c>
      <c r="Y4" s="1">
        <v>28</v>
      </c>
    </row>
    <row r="5" spans="1:25" x14ac:dyDescent="0.3">
      <c r="A5" s="3">
        <f>Gegevens!B13</f>
        <v>44228</v>
      </c>
      <c r="B5" s="3">
        <f>Gegevens!C13</f>
        <v>44255</v>
      </c>
      <c r="C5" s="1">
        <f t="shared" ref="C5:C17" si="3">B5-A5+1</f>
        <v>28</v>
      </c>
      <c r="D5" s="1">
        <f t="shared" ref="D5:D17" si="4">YEAR(A5)</f>
        <v>2021</v>
      </c>
      <c r="E5" s="1">
        <f t="shared" ref="E5:E17" si="5">YEAR(B5)</f>
        <v>2021</v>
      </c>
      <c r="F5" s="1">
        <f t="shared" ref="F5:F17" si="6">MONTH(A5)</f>
        <v>2</v>
      </c>
      <c r="G5" s="1">
        <f t="shared" ref="G5:G17" si="7">MONTH(B5)</f>
        <v>2</v>
      </c>
      <c r="H5" s="1">
        <f t="shared" si="0"/>
        <v>28</v>
      </c>
      <c r="I5" s="1">
        <f t="shared" si="1"/>
        <v>28</v>
      </c>
      <c r="J5" s="1">
        <f t="shared" ref="J5:J17" si="8">IF(F5=G5,DAY(B5)-DAY(A5)+1,H5-DAY(A5)+1)</f>
        <v>28</v>
      </c>
      <c r="K5" s="1">
        <f t="shared" ref="K5:K17" si="9">C5-J5</f>
        <v>0</v>
      </c>
      <c r="Q5" s="1">
        <v>2</v>
      </c>
      <c r="R5" s="1" t="s">
        <v>4</v>
      </c>
      <c r="S5" s="1">
        <f t="shared" si="2"/>
        <v>28</v>
      </c>
      <c r="U5" s="1" t="s">
        <v>4</v>
      </c>
      <c r="X5" s="1">
        <v>2018</v>
      </c>
      <c r="Y5" s="1">
        <v>28</v>
      </c>
    </row>
    <row r="6" spans="1:25" x14ac:dyDescent="0.3">
      <c r="A6" s="3">
        <f>Gegevens!B14</f>
        <v>44256</v>
      </c>
      <c r="B6" s="3">
        <f>Gegevens!C14</f>
        <v>44283</v>
      </c>
      <c r="C6" s="1">
        <f t="shared" si="3"/>
        <v>28</v>
      </c>
      <c r="D6" s="1">
        <f t="shared" si="4"/>
        <v>2021</v>
      </c>
      <c r="E6" s="1">
        <f t="shared" si="5"/>
        <v>2021</v>
      </c>
      <c r="F6" s="1">
        <f t="shared" si="6"/>
        <v>3</v>
      </c>
      <c r="G6" s="1">
        <f t="shared" si="7"/>
        <v>3</v>
      </c>
      <c r="H6" s="1">
        <f t="shared" si="0"/>
        <v>31</v>
      </c>
      <c r="I6" s="1">
        <f t="shared" si="1"/>
        <v>31</v>
      </c>
      <c r="J6" s="1">
        <f t="shared" si="8"/>
        <v>28</v>
      </c>
      <c r="K6" s="1">
        <f t="shared" si="9"/>
        <v>0</v>
      </c>
      <c r="Q6" s="1">
        <v>3</v>
      </c>
      <c r="R6" s="1" t="s">
        <v>5</v>
      </c>
      <c r="S6" s="1">
        <f t="shared" si="2"/>
        <v>31</v>
      </c>
      <c r="U6" s="1" t="s">
        <v>5</v>
      </c>
      <c r="X6" s="1">
        <v>2019</v>
      </c>
      <c r="Y6" s="1">
        <v>28</v>
      </c>
    </row>
    <row r="7" spans="1:25" x14ac:dyDescent="0.3">
      <c r="A7" s="3">
        <f>Gegevens!B15</f>
        <v>44284</v>
      </c>
      <c r="B7" s="3">
        <f>Gegevens!C15</f>
        <v>44311</v>
      </c>
      <c r="C7" s="1">
        <f t="shared" si="3"/>
        <v>28</v>
      </c>
      <c r="D7" s="1">
        <f t="shared" si="4"/>
        <v>2021</v>
      </c>
      <c r="E7" s="1">
        <f t="shared" si="5"/>
        <v>2021</v>
      </c>
      <c r="F7" s="1">
        <f t="shared" si="6"/>
        <v>3</v>
      </c>
      <c r="G7" s="1">
        <f t="shared" si="7"/>
        <v>4</v>
      </c>
      <c r="H7" s="1">
        <f t="shared" si="0"/>
        <v>31</v>
      </c>
      <c r="I7" s="1">
        <f t="shared" si="1"/>
        <v>30</v>
      </c>
      <c r="J7" s="1">
        <f t="shared" si="8"/>
        <v>3</v>
      </c>
      <c r="K7" s="1">
        <f t="shared" si="9"/>
        <v>25</v>
      </c>
      <c r="Q7" s="1">
        <v>4</v>
      </c>
      <c r="R7" s="1" t="s">
        <v>6</v>
      </c>
      <c r="S7" s="1">
        <f t="shared" si="2"/>
        <v>30</v>
      </c>
      <c r="U7" s="1" t="s">
        <v>6</v>
      </c>
      <c r="X7" s="1">
        <v>2020</v>
      </c>
      <c r="Y7" s="1">
        <v>29</v>
      </c>
    </row>
    <row r="8" spans="1:25" x14ac:dyDescent="0.3">
      <c r="A8" s="3">
        <f>Gegevens!B16</f>
        <v>44312</v>
      </c>
      <c r="B8" s="3">
        <f>Gegevens!C16</f>
        <v>44339</v>
      </c>
      <c r="C8" s="1">
        <f t="shared" si="3"/>
        <v>28</v>
      </c>
      <c r="D8" s="1">
        <f t="shared" si="4"/>
        <v>2021</v>
      </c>
      <c r="E8" s="1">
        <f t="shared" si="5"/>
        <v>2021</v>
      </c>
      <c r="F8" s="1">
        <f t="shared" si="6"/>
        <v>4</v>
      </c>
      <c r="G8" s="1">
        <f t="shared" si="7"/>
        <v>5</v>
      </c>
      <c r="H8" s="1">
        <f t="shared" si="0"/>
        <v>30</v>
      </c>
      <c r="I8" s="1">
        <f t="shared" si="1"/>
        <v>31</v>
      </c>
      <c r="J8" s="1">
        <f t="shared" si="8"/>
        <v>5</v>
      </c>
      <c r="K8" s="1">
        <f t="shared" si="9"/>
        <v>23</v>
      </c>
      <c r="Q8" s="1">
        <v>5</v>
      </c>
      <c r="R8" s="1" t="s">
        <v>7</v>
      </c>
      <c r="S8" s="1">
        <f t="shared" si="2"/>
        <v>31</v>
      </c>
      <c r="U8" s="1" t="s">
        <v>7</v>
      </c>
      <c r="X8" s="1">
        <v>2021</v>
      </c>
      <c r="Y8" s="1">
        <v>28</v>
      </c>
    </row>
    <row r="9" spans="1:25" x14ac:dyDescent="0.3">
      <c r="A9" s="3">
        <f>Gegevens!B17</f>
        <v>44340</v>
      </c>
      <c r="B9" s="3">
        <f>Gegevens!C17</f>
        <v>44367</v>
      </c>
      <c r="C9" s="1">
        <f t="shared" si="3"/>
        <v>28</v>
      </c>
      <c r="D9" s="1">
        <f t="shared" si="4"/>
        <v>2021</v>
      </c>
      <c r="E9" s="1">
        <f t="shared" si="5"/>
        <v>2021</v>
      </c>
      <c r="F9" s="1">
        <f t="shared" si="6"/>
        <v>5</v>
      </c>
      <c r="G9" s="1">
        <f t="shared" si="7"/>
        <v>6</v>
      </c>
      <c r="H9" s="1">
        <f t="shared" si="0"/>
        <v>31</v>
      </c>
      <c r="I9" s="1">
        <f t="shared" si="1"/>
        <v>30</v>
      </c>
      <c r="J9" s="1">
        <f t="shared" si="8"/>
        <v>8</v>
      </c>
      <c r="K9" s="1">
        <f t="shared" si="9"/>
        <v>20</v>
      </c>
      <c r="Q9" s="1">
        <v>6</v>
      </c>
      <c r="R9" s="1" t="s">
        <v>8</v>
      </c>
      <c r="S9" s="1">
        <f t="shared" si="2"/>
        <v>30</v>
      </c>
      <c r="U9" s="1" t="s">
        <v>8</v>
      </c>
      <c r="X9" s="1">
        <v>2022</v>
      </c>
      <c r="Y9" s="1">
        <v>28</v>
      </c>
    </row>
    <row r="10" spans="1:25" x14ac:dyDescent="0.3">
      <c r="A10" s="3">
        <f>Gegevens!B18</f>
        <v>44368</v>
      </c>
      <c r="B10" s="3">
        <f>Gegevens!C18</f>
        <v>44395</v>
      </c>
      <c r="C10" s="1">
        <f t="shared" si="3"/>
        <v>28</v>
      </c>
      <c r="D10" s="1">
        <f t="shared" si="4"/>
        <v>2021</v>
      </c>
      <c r="E10" s="1">
        <f t="shared" si="5"/>
        <v>2021</v>
      </c>
      <c r="F10" s="1">
        <f t="shared" si="6"/>
        <v>6</v>
      </c>
      <c r="G10" s="1">
        <f t="shared" si="7"/>
        <v>7</v>
      </c>
      <c r="H10" s="1">
        <f t="shared" si="0"/>
        <v>30</v>
      </c>
      <c r="I10" s="1">
        <f t="shared" si="1"/>
        <v>31</v>
      </c>
      <c r="J10" s="1">
        <f t="shared" si="8"/>
        <v>10</v>
      </c>
      <c r="K10" s="1">
        <f t="shared" si="9"/>
        <v>18</v>
      </c>
      <c r="Q10" s="1">
        <v>7</v>
      </c>
      <c r="R10" s="1" t="s">
        <v>9</v>
      </c>
      <c r="S10" s="1">
        <f t="shared" si="2"/>
        <v>31</v>
      </c>
      <c r="U10" s="1" t="s">
        <v>9</v>
      </c>
      <c r="X10" s="1">
        <v>2023</v>
      </c>
      <c r="Y10" s="1">
        <v>28</v>
      </c>
    </row>
    <row r="11" spans="1:25" x14ac:dyDescent="0.3">
      <c r="A11" s="3">
        <f>Gegevens!B19</f>
        <v>44396</v>
      </c>
      <c r="B11" s="3">
        <f>Gegevens!C19</f>
        <v>44423</v>
      </c>
      <c r="C11" s="1">
        <f t="shared" si="3"/>
        <v>28</v>
      </c>
      <c r="D11" s="1">
        <f t="shared" si="4"/>
        <v>2021</v>
      </c>
      <c r="E11" s="1">
        <f t="shared" si="5"/>
        <v>2021</v>
      </c>
      <c r="F11" s="1">
        <f t="shared" si="6"/>
        <v>7</v>
      </c>
      <c r="G11" s="1">
        <f t="shared" si="7"/>
        <v>8</v>
      </c>
      <c r="H11" s="1">
        <f t="shared" si="0"/>
        <v>31</v>
      </c>
      <c r="I11" s="1">
        <f t="shared" si="1"/>
        <v>31</v>
      </c>
      <c r="J11" s="1">
        <f t="shared" si="8"/>
        <v>13</v>
      </c>
      <c r="K11" s="1">
        <f t="shared" si="9"/>
        <v>15</v>
      </c>
      <c r="Q11" s="1">
        <v>8</v>
      </c>
      <c r="R11" s="1" t="s">
        <v>10</v>
      </c>
      <c r="S11" s="1">
        <f t="shared" si="2"/>
        <v>31</v>
      </c>
      <c r="U11" s="1" t="s">
        <v>10</v>
      </c>
      <c r="X11" s="1">
        <v>2024</v>
      </c>
      <c r="Y11" s="1">
        <v>29</v>
      </c>
    </row>
    <row r="12" spans="1:25" x14ac:dyDescent="0.3">
      <c r="A12" s="3">
        <f>Gegevens!B20</f>
        <v>44424</v>
      </c>
      <c r="B12" s="3">
        <f>Gegevens!C20</f>
        <v>44451</v>
      </c>
      <c r="C12" s="1">
        <f t="shared" si="3"/>
        <v>28</v>
      </c>
      <c r="D12" s="1">
        <f t="shared" si="4"/>
        <v>2021</v>
      </c>
      <c r="E12" s="1">
        <f t="shared" si="5"/>
        <v>2021</v>
      </c>
      <c r="F12" s="1">
        <f t="shared" si="6"/>
        <v>8</v>
      </c>
      <c r="G12" s="1">
        <f t="shared" si="7"/>
        <v>9</v>
      </c>
      <c r="H12" s="1">
        <f t="shared" si="0"/>
        <v>31</v>
      </c>
      <c r="I12" s="1">
        <f t="shared" si="1"/>
        <v>30</v>
      </c>
      <c r="J12" s="1">
        <f t="shared" si="8"/>
        <v>16</v>
      </c>
      <c r="K12" s="1">
        <f t="shared" si="9"/>
        <v>12</v>
      </c>
      <c r="Q12" s="1">
        <v>9</v>
      </c>
      <c r="R12" s="1" t="s">
        <v>11</v>
      </c>
      <c r="S12" s="1">
        <f t="shared" si="2"/>
        <v>30</v>
      </c>
      <c r="U12" s="1" t="s">
        <v>11</v>
      </c>
      <c r="X12" s="1">
        <v>2025</v>
      </c>
      <c r="Y12" s="1">
        <v>28</v>
      </c>
    </row>
    <row r="13" spans="1:25" x14ac:dyDescent="0.3">
      <c r="A13" s="3">
        <f>Gegevens!B21</f>
        <v>44452</v>
      </c>
      <c r="B13" s="3">
        <f>Gegevens!C21</f>
        <v>44479</v>
      </c>
      <c r="C13" s="1">
        <f t="shared" si="3"/>
        <v>28</v>
      </c>
      <c r="D13" s="1">
        <f t="shared" si="4"/>
        <v>2021</v>
      </c>
      <c r="E13" s="1">
        <f t="shared" si="5"/>
        <v>2021</v>
      </c>
      <c r="F13" s="1">
        <f t="shared" si="6"/>
        <v>9</v>
      </c>
      <c r="G13" s="1">
        <f t="shared" si="7"/>
        <v>10</v>
      </c>
      <c r="H13" s="1">
        <f t="shared" si="0"/>
        <v>30</v>
      </c>
      <c r="I13" s="1">
        <f t="shared" si="1"/>
        <v>31</v>
      </c>
      <c r="J13" s="1">
        <f t="shared" si="8"/>
        <v>18</v>
      </c>
      <c r="K13" s="1">
        <f t="shared" si="9"/>
        <v>10</v>
      </c>
      <c r="Q13" s="1">
        <v>10</v>
      </c>
      <c r="R13" s="1" t="s">
        <v>12</v>
      </c>
      <c r="S13" s="1">
        <f t="shared" si="2"/>
        <v>31</v>
      </c>
      <c r="U13" s="1" t="s">
        <v>12</v>
      </c>
      <c r="X13" s="1">
        <v>2026</v>
      </c>
      <c r="Y13" s="1">
        <v>28</v>
      </c>
    </row>
    <row r="14" spans="1:25" x14ac:dyDescent="0.3">
      <c r="A14" s="3">
        <f>Gegevens!B22</f>
        <v>44480</v>
      </c>
      <c r="B14" s="3">
        <f>Gegevens!C22</f>
        <v>44507</v>
      </c>
      <c r="C14" s="1">
        <f t="shared" si="3"/>
        <v>28</v>
      </c>
      <c r="D14" s="1">
        <f t="shared" si="4"/>
        <v>2021</v>
      </c>
      <c r="E14" s="1">
        <f t="shared" si="5"/>
        <v>2021</v>
      </c>
      <c r="F14" s="1">
        <f t="shared" si="6"/>
        <v>10</v>
      </c>
      <c r="G14" s="1">
        <f t="shared" si="7"/>
        <v>11</v>
      </c>
      <c r="H14" s="1">
        <f t="shared" si="0"/>
        <v>31</v>
      </c>
      <c r="I14" s="1">
        <f t="shared" si="1"/>
        <v>30</v>
      </c>
      <c r="J14" s="1">
        <f t="shared" si="8"/>
        <v>21</v>
      </c>
      <c r="K14" s="1">
        <f t="shared" si="9"/>
        <v>7</v>
      </c>
      <c r="Q14" s="1">
        <v>11</v>
      </c>
      <c r="R14" s="1" t="s">
        <v>13</v>
      </c>
      <c r="S14" s="1">
        <f t="shared" si="2"/>
        <v>30</v>
      </c>
      <c r="U14" s="1" t="s">
        <v>13</v>
      </c>
      <c r="X14" s="1">
        <v>2027</v>
      </c>
      <c r="Y14" s="1">
        <v>28</v>
      </c>
    </row>
    <row r="15" spans="1:25" x14ac:dyDescent="0.3">
      <c r="A15" s="3">
        <f>Gegevens!B23</f>
        <v>44508</v>
      </c>
      <c r="B15" s="3">
        <f>Gegevens!C23</f>
        <v>44535</v>
      </c>
      <c r="C15" s="1">
        <f t="shared" si="3"/>
        <v>28</v>
      </c>
      <c r="D15" s="1">
        <f t="shared" si="4"/>
        <v>2021</v>
      </c>
      <c r="E15" s="1">
        <f t="shared" si="5"/>
        <v>2021</v>
      </c>
      <c r="F15" s="1">
        <f t="shared" si="6"/>
        <v>11</v>
      </c>
      <c r="G15" s="1">
        <f t="shared" si="7"/>
        <v>12</v>
      </c>
      <c r="H15" s="1">
        <f t="shared" si="0"/>
        <v>30</v>
      </c>
      <c r="I15" s="1">
        <f t="shared" si="1"/>
        <v>31</v>
      </c>
      <c r="J15" s="1">
        <f t="shared" si="8"/>
        <v>23</v>
      </c>
      <c r="K15" s="1">
        <f t="shared" si="9"/>
        <v>5</v>
      </c>
      <c r="Q15" s="1">
        <v>12</v>
      </c>
      <c r="R15" s="1" t="s">
        <v>14</v>
      </c>
      <c r="S15" s="1">
        <f t="shared" si="2"/>
        <v>31</v>
      </c>
      <c r="U15" s="1" t="s">
        <v>14</v>
      </c>
      <c r="X15" s="1">
        <v>2028</v>
      </c>
      <c r="Y15" s="1">
        <v>29</v>
      </c>
    </row>
    <row r="16" spans="1:25" x14ac:dyDescent="0.3">
      <c r="A16" s="3">
        <f>Gegevens!B24</f>
        <v>44536</v>
      </c>
      <c r="B16" s="3">
        <f>Gegevens!C24</f>
        <v>44563</v>
      </c>
      <c r="C16" s="1">
        <f t="shared" si="3"/>
        <v>28</v>
      </c>
      <c r="D16" s="1">
        <f t="shared" si="4"/>
        <v>2021</v>
      </c>
      <c r="E16" s="1">
        <f t="shared" si="5"/>
        <v>2022</v>
      </c>
      <c r="F16" s="1">
        <f t="shared" si="6"/>
        <v>12</v>
      </c>
      <c r="G16" s="1">
        <f t="shared" si="7"/>
        <v>1</v>
      </c>
      <c r="H16" s="1">
        <f t="shared" si="0"/>
        <v>31</v>
      </c>
      <c r="I16" s="1">
        <f t="shared" si="1"/>
        <v>31</v>
      </c>
      <c r="J16" s="1">
        <f t="shared" si="8"/>
        <v>26</v>
      </c>
      <c r="K16" s="1">
        <f t="shared" si="9"/>
        <v>2</v>
      </c>
      <c r="R16" s="1" t="s">
        <v>3</v>
      </c>
      <c r="X16" s="1">
        <v>2029</v>
      </c>
      <c r="Y16" s="1">
        <v>28</v>
      </c>
    </row>
    <row r="17" spans="1:25" x14ac:dyDescent="0.3">
      <c r="A17" s="3">
        <f>Gegevens!B25</f>
        <v>44564</v>
      </c>
      <c r="B17" s="3">
        <f>Gegevens!C25</f>
        <v>44591</v>
      </c>
      <c r="C17" s="1">
        <f t="shared" si="3"/>
        <v>28</v>
      </c>
      <c r="D17" s="1">
        <f t="shared" si="4"/>
        <v>2022</v>
      </c>
      <c r="E17" s="1">
        <f t="shared" si="5"/>
        <v>2022</v>
      </c>
      <c r="F17" s="1">
        <f t="shared" si="6"/>
        <v>1</v>
      </c>
      <c r="G17" s="1">
        <f t="shared" si="7"/>
        <v>1</v>
      </c>
      <c r="H17" s="1">
        <f t="shared" si="0"/>
        <v>31</v>
      </c>
      <c r="I17" s="1">
        <f t="shared" si="1"/>
        <v>31</v>
      </c>
      <c r="J17" s="1">
        <f t="shared" si="8"/>
        <v>28</v>
      </c>
      <c r="K17" s="1">
        <f t="shared" si="9"/>
        <v>0</v>
      </c>
      <c r="X17" s="1">
        <v>2030</v>
      </c>
      <c r="Y17" s="1">
        <v>28</v>
      </c>
    </row>
    <row r="18" spans="1:25" x14ac:dyDescent="0.3">
      <c r="X18" s="1">
        <v>2031</v>
      </c>
      <c r="Y18" s="1">
        <v>28</v>
      </c>
    </row>
    <row r="19" spans="1:25" x14ac:dyDescent="0.3">
      <c r="M19" s="1" t="s">
        <v>74</v>
      </c>
      <c r="O19" s="1" t="s">
        <v>61</v>
      </c>
      <c r="X19" s="1">
        <v>2032</v>
      </c>
      <c r="Y19" s="1">
        <v>29</v>
      </c>
    </row>
    <row r="20" spans="1:25" x14ac:dyDescent="0.3">
      <c r="F20" s="1" t="s">
        <v>70</v>
      </c>
      <c r="G20" s="1" t="s">
        <v>71</v>
      </c>
      <c r="H20" s="1" t="s">
        <v>72</v>
      </c>
      <c r="I20" s="1" t="s">
        <v>73</v>
      </c>
      <c r="J20" s="1" t="str">
        <f>A21&amp;-B21</f>
        <v>2020-12</v>
      </c>
      <c r="Q20" s="1" t="s">
        <v>26</v>
      </c>
      <c r="X20" s="1">
        <v>2033</v>
      </c>
      <c r="Y20" s="1">
        <v>28</v>
      </c>
    </row>
    <row r="21" spans="1:25" x14ac:dyDescent="0.3">
      <c r="A21" s="1">
        <f t="shared" ref="A21:A35" si="10">YEAR(A3)</f>
        <v>2020</v>
      </c>
      <c r="B21" s="1">
        <f t="shared" ref="B21:B35" si="11">MONTH(A3)</f>
        <v>12</v>
      </c>
      <c r="C21" s="1">
        <f t="shared" ref="C21" si="12">A21*12+B21</f>
        <v>24252</v>
      </c>
      <c r="D21" s="1">
        <f t="shared" ref="D21:D35" si="13">J3</f>
        <v>25</v>
      </c>
      <c r="F21" s="4" t="e">
        <f>ROUND($D21/$C3*Inkomsten!D16,2)</f>
        <v>#VALUE!</v>
      </c>
      <c r="G21" s="4">
        <f>ROUND($D21/$C3*Inkomsten!E16,2)</f>
        <v>44.64</v>
      </c>
      <c r="H21" s="4" t="e">
        <f>F21+F35</f>
        <v>#VALUE!</v>
      </c>
      <c r="I21" s="4">
        <f>G21+G35</f>
        <v>44.64</v>
      </c>
      <c r="J21" s="1" t="str">
        <f>IF(K3=0,0,"december")</f>
        <v>december</v>
      </c>
      <c r="K21" s="1" t="e">
        <f ca="1">IF(M21=0,"",J21&amp;" "&amp;A21)</f>
        <v>#VALUE!</v>
      </c>
      <c r="M21" s="5" t="e">
        <f ca="1">SUMIF($C$21:$G$50,C53,$F$21:$F$50)</f>
        <v>#VALUE!</v>
      </c>
      <c r="N21" s="1">
        <f>IF(B21=1,$Q$4,IF(B21=2,$Q$5,IF(B21=3,$Q$6,IF(B21=4,$Q$7,IF(B21=5,$Q$8,IF(B21=6,$Q$9,IF(B21=7,$Q$10,IF(B21=8,$Q$11,IF(B21=9,$Q$12,IF(B21=10,$Q$13,IF(B21=11,$Q$14,IF(B21=12,$Q$15))))))))))))</f>
        <v>12</v>
      </c>
      <c r="O21" s="1">
        <f>A21</f>
        <v>2020</v>
      </c>
      <c r="Q21" s="5">
        <f ca="1">SUMIF($C$21:$G$50,C53,$G$21:$G$50)</f>
        <v>44.64</v>
      </c>
      <c r="X21" s="1">
        <v>2035</v>
      </c>
      <c r="Y21" s="1">
        <v>28</v>
      </c>
    </row>
    <row r="22" spans="1:25" x14ac:dyDescent="0.3">
      <c r="A22" s="1">
        <f t="shared" si="10"/>
        <v>2021</v>
      </c>
      <c r="B22" s="1">
        <f t="shared" si="11"/>
        <v>1</v>
      </c>
      <c r="C22" s="1">
        <f>A22*12+B22</f>
        <v>24253</v>
      </c>
      <c r="D22" s="1">
        <f t="shared" si="13"/>
        <v>28</v>
      </c>
      <c r="F22" s="4">
        <f>ROUND($D22/$C4*Inkomsten!D17,2)</f>
        <v>100</v>
      </c>
      <c r="G22" s="4">
        <f>ROUND($D22/$C4*Inkomsten!E17,2)</f>
        <v>50</v>
      </c>
      <c r="H22" s="4">
        <f t="shared" ref="H22:H35" si="14">F22+F37</f>
        <v>100</v>
      </c>
      <c r="I22" s="4">
        <f t="shared" ref="I22:I35" si="15">G22+G37</f>
        <v>50</v>
      </c>
      <c r="J22" s="1" t="str">
        <f>IF(B22=1,$R$4,IF(B22=2,$R$5,IF(B22=3,$R$6,IF(B22=4,$R$7,IF(B22=5,$R$8,IF(B22=6,$R$9,IF(B22=7,$R$10,IF(B22=8,$R$11,IF(B22=9,$R$12,IF(B22=10,$R$13,IF(B22=11,$R$14,IF(B22=12,$R$15))))))))))))</f>
        <v>januari</v>
      </c>
      <c r="K22" s="1" t="str">
        <f>J22&amp;" "&amp;A22</f>
        <v>januari 2021</v>
      </c>
      <c r="M22" s="5" t="e">
        <f t="shared" ref="M22:M34" ca="1" si="16">SUMIF($C$21:$G$50,C54,$F$21:$F$50)</f>
        <v>#VALUE!</v>
      </c>
      <c r="N22" s="1">
        <f>IF(B22=1,$Q$4,IF(B22=2,$Q$5,IF(B22=3,$Q$6,IF(B22=4,$Q$7,IF(B22=5,$Q$8,IF(B22=6,$Q$9,IF(B22=7,$Q$10,IF(B22=8,$Q$11,IF(B22=9,$Q$12,IF(B22=10,$Q$13,IF(B22=11,$Q$14,IF(B22=12,$Q$15))))))))))))</f>
        <v>1</v>
      </c>
      <c r="O22" s="1">
        <f>A22</f>
        <v>2021</v>
      </c>
      <c r="Q22" s="5">
        <f t="shared" ref="Q22:Q34" ca="1" si="17">SUMIF($C$21:$G$50,C54,$G$21:$G$50)</f>
        <v>55.36</v>
      </c>
      <c r="X22" s="1">
        <v>2036</v>
      </c>
      <c r="Y22" s="1">
        <v>29</v>
      </c>
    </row>
    <row r="23" spans="1:25" x14ac:dyDescent="0.3">
      <c r="A23" s="1">
        <f t="shared" si="10"/>
        <v>2021</v>
      </c>
      <c r="B23" s="1">
        <f t="shared" si="11"/>
        <v>2</v>
      </c>
      <c r="C23" s="1">
        <f t="shared" ref="C23:C35" si="18">A23*12+B23</f>
        <v>24254</v>
      </c>
      <c r="D23" s="1">
        <f t="shared" si="13"/>
        <v>28</v>
      </c>
      <c r="F23" s="4">
        <f>ROUND($D23/$C5*Inkomsten!D18,2)</f>
        <v>75</v>
      </c>
      <c r="G23" s="4">
        <f>ROUND($D23/$C5*Inkomsten!E18,2)</f>
        <v>50</v>
      </c>
      <c r="H23" s="4">
        <f t="shared" si="14"/>
        <v>75</v>
      </c>
      <c r="I23" s="4">
        <f t="shared" si="15"/>
        <v>50</v>
      </c>
      <c r="J23" s="1" t="str">
        <f t="shared" ref="J23:J24" si="19">IF(B23=1,$R$4,IF(B23=2,$R$5,IF(B23=3,$R$6,IF(B23=4,$R$7,IF(B23=5,$R$8,IF(B23=6,$R$9,IF(B23=7,$R$10,IF(B23=8,$R$11,IF(B23=9,$R$12,IF(B23=10,$R$13,IF(B23=11,$R$14,IF(B23=12,$R$15))))))))))))</f>
        <v>februari</v>
      </c>
      <c r="K23" s="1" t="str">
        <f t="shared" ref="K23:K24" si="20">J23&amp;" "&amp;A23</f>
        <v>februari 2021</v>
      </c>
      <c r="M23" s="5">
        <f t="shared" ca="1" si="16"/>
        <v>75</v>
      </c>
      <c r="N23" s="1">
        <f>IF(B23=1,$Q$4,IF(B23=2,$Q$5,IF(B23=3,$Q$6,IF(B23=4,$Q$7,IF(B23=5,$Q$8,IF(B23=6,$Q$9,IF(B23=7,$Q$10,IF(B23=8,$Q$11,IF(B23=9,$Q$12,IF(B23=10,$Q$13,IF(B23=11,$Q$14,IF(B23=12,$Q$15))))))))))))</f>
        <v>2</v>
      </c>
      <c r="O23" s="1">
        <f>A23</f>
        <v>2021</v>
      </c>
      <c r="Q23" s="5">
        <f t="shared" ca="1" si="17"/>
        <v>50</v>
      </c>
      <c r="X23" s="1">
        <v>2037</v>
      </c>
      <c r="Y23" s="1">
        <v>28</v>
      </c>
    </row>
    <row r="24" spans="1:25" x14ac:dyDescent="0.3">
      <c r="A24" s="1">
        <f t="shared" si="10"/>
        <v>2021</v>
      </c>
      <c r="B24" s="1">
        <f t="shared" si="11"/>
        <v>3</v>
      </c>
      <c r="C24" s="1">
        <f t="shared" si="18"/>
        <v>24255</v>
      </c>
      <c r="D24" s="1">
        <f t="shared" si="13"/>
        <v>28</v>
      </c>
      <c r="F24" s="4">
        <f>ROUND($D24/$C6*Inkomsten!D19,2)</f>
        <v>75</v>
      </c>
      <c r="G24" s="4">
        <f>ROUND($D24/$C6*Inkomsten!E19,2)</f>
        <v>50</v>
      </c>
      <c r="H24" s="4">
        <f t="shared" si="14"/>
        <v>75</v>
      </c>
      <c r="I24" s="4">
        <f t="shared" si="15"/>
        <v>50</v>
      </c>
      <c r="J24" s="1" t="str">
        <f t="shared" si="19"/>
        <v>maart</v>
      </c>
      <c r="K24" s="1" t="str">
        <f t="shared" si="20"/>
        <v>maart 2021</v>
      </c>
      <c r="M24" s="5">
        <f t="shared" ca="1" si="16"/>
        <v>83.039999999999992</v>
      </c>
      <c r="N24" s="1">
        <f>IF(B24=1,$Q$4,IF(B24=2,$Q$5,IF(B24=3,$Q$6,IF(B24=4,$Q$7,IF(B24=5,$Q$8,IF(B24=6,$Q$9,IF(B24=7,$Q$10,IF(B24=8,$Q$11,IF(B24=9,$Q$12,IF(B24=10,$Q$13,IF(B24=11,$Q$14,IF(B24=12,$Q$15))))))))))))</f>
        <v>3</v>
      </c>
      <c r="O24" s="1">
        <f>A24</f>
        <v>2021</v>
      </c>
      <c r="Q24" s="5">
        <f t="shared" ca="1" si="17"/>
        <v>55.36</v>
      </c>
      <c r="X24" s="1">
        <v>2038</v>
      </c>
      <c r="Y24" s="1">
        <v>28</v>
      </c>
    </row>
    <row r="25" spans="1:25" x14ac:dyDescent="0.3">
      <c r="A25" s="1">
        <f t="shared" si="10"/>
        <v>2021</v>
      </c>
      <c r="B25" s="1">
        <f t="shared" si="11"/>
        <v>3</v>
      </c>
      <c r="C25" s="1">
        <f t="shared" si="18"/>
        <v>24255</v>
      </c>
      <c r="D25" s="1">
        <f t="shared" si="13"/>
        <v>3</v>
      </c>
      <c r="F25" s="4">
        <f>ROUND($D25/$C7*Inkomsten!D20,2)</f>
        <v>8.0399999999999991</v>
      </c>
      <c r="G25" s="4">
        <f>ROUND($D25/$C7*Inkomsten!E20,2)</f>
        <v>5.36</v>
      </c>
      <c r="H25" s="4">
        <f t="shared" si="14"/>
        <v>75</v>
      </c>
      <c r="I25" s="4">
        <f t="shared" si="15"/>
        <v>50</v>
      </c>
      <c r="J25" s="1" t="str">
        <f t="shared" ref="J25:J34" si="21">IF(B26=1,$R$4,IF(B26=2,$R$5,IF(B26=3,$R$6,IF(B26=4,$R$7,IF(B26=5,$R$8,IF(B26=6,$R$9,IF(B26=7,$R$10,IF(B26=8,$R$11,IF(B26=9,$R$12,IF(B26=10,$R$13,IF(B26=11,$R$14,IF(B26=12,$R$15))))))))))))</f>
        <v>april</v>
      </c>
      <c r="K25" s="1" t="str">
        <f t="shared" ref="K25:K34" si="22">J25&amp;" "&amp;A26</f>
        <v>april 2021</v>
      </c>
      <c r="M25" s="5">
        <f t="shared" ca="1" si="16"/>
        <v>84.82</v>
      </c>
      <c r="N25" s="1">
        <f t="shared" ref="N25:N34" si="23">IF(B26=1,$Q$4,IF(B26=2,$Q$5,IF(B26=3,$Q$6,IF(B26=4,$Q$7,IF(B26=5,$Q$8,IF(B26=6,$Q$9,IF(B26=7,$Q$10,IF(B26=8,$Q$11,IF(B26=9,$Q$12,IF(B26=10,$Q$13,IF(B26=11,$Q$14,IF(B26=12,$Q$15))))))))))))</f>
        <v>4</v>
      </c>
      <c r="O25" s="1">
        <f t="shared" ref="O25:O34" si="24">A26</f>
        <v>2021</v>
      </c>
      <c r="Q25" s="5">
        <f t="shared" ca="1" si="17"/>
        <v>53.57</v>
      </c>
      <c r="X25" s="1">
        <v>2039</v>
      </c>
      <c r="Y25" s="1">
        <v>28</v>
      </c>
    </row>
    <row r="26" spans="1:25" x14ac:dyDescent="0.3">
      <c r="A26" s="1">
        <f t="shared" si="10"/>
        <v>2021</v>
      </c>
      <c r="B26" s="1">
        <f t="shared" si="11"/>
        <v>4</v>
      </c>
      <c r="C26" s="1">
        <f t="shared" si="18"/>
        <v>24256</v>
      </c>
      <c r="D26" s="1">
        <f t="shared" si="13"/>
        <v>5</v>
      </c>
      <c r="F26" s="4">
        <f>ROUND($D26/$C8*Inkomsten!D21,2)</f>
        <v>17.86</v>
      </c>
      <c r="G26" s="4">
        <f>ROUND($D26/$C8*Inkomsten!E21,2)</f>
        <v>8.93</v>
      </c>
      <c r="H26" s="4">
        <f t="shared" si="14"/>
        <v>100</v>
      </c>
      <c r="I26" s="4">
        <f t="shared" si="15"/>
        <v>50</v>
      </c>
      <c r="J26" s="1" t="str">
        <f t="shared" si="21"/>
        <v>mei</v>
      </c>
      <c r="K26" s="1" t="str">
        <f t="shared" si="22"/>
        <v>mei 2021</v>
      </c>
      <c r="M26" s="5">
        <f t="shared" ca="1" si="16"/>
        <v>96.43</v>
      </c>
      <c r="N26" s="1">
        <f t="shared" si="23"/>
        <v>5</v>
      </c>
      <c r="O26" s="1">
        <f t="shared" si="24"/>
        <v>2021</v>
      </c>
      <c r="Q26" s="5">
        <f t="shared" ca="1" si="17"/>
        <v>55.36</v>
      </c>
      <c r="X26" s="1">
        <v>2040</v>
      </c>
      <c r="Y26" s="1">
        <v>29</v>
      </c>
    </row>
    <row r="27" spans="1:25" x14ac:dyDescent="0.3">
      <c r="A27" s="1">
        <f t="shared" si="10"/>
        <v>2021</v>
      </c>
      <c r="B27" s="1">
        <f t="shared" si="11"/>
        <v>5</v>
      </c>
      <c r="C27" s="1">
        <f t="shared" si="18"/>
        <v>24257</v>
      </c>
      <c r="D27" s="1">
        <f t="shared" si="13"/>
        <v>8</v>
      </c>
      <c r="F27" s="4">
        <f>ROUND($D27/$C9*Inkomsten!D22,2)</f>
        <v>14.29</v>
      </c>
      <c r="G27" s="4">
        <f>ROUND($D27/$C9*Inkomsten!E22,2)</f>
        <v>14.29</v>
      </c>
      <c r="H27" s="4">
        <f t="shared" si="14"/>
        <v>50</v>
      </c>
      <c r="I27" s="4">
        <f t="shared" si="15"/>
        <v>50</v>
      </c>
      <c r="J27" s="1" t="str">
        <f t="shared" si="21"/>
        <v>juni</v>
      </c>
      <c r="K27" s="1" t="str">
        <f t="shared" si="22"/>
        <v>juni 2021</v>
      </c>
      <c r="M27" s="5">
        <f t="shared" ca="1" si="16"/>
        <v>53.57</v>
      </c>
      <c r="N27" s="1">
        <f t="shared" si="23"/>
        <v>6</v>
      </c>
      <c r="O27" s="1">
        <f t="shared" si="24"/>
        <v>2021</v>
      </c>
      <c r="Q27" s="5">
        <f t="shared" ca="1" si="17"/>
        <v>53.57</v>
      </c>
      <c r="X27" s="1">
        <v>2041</v>
      </c>
      <c r="Y27" s="1">
        <v>28</v>
      </c>
    </row>
    <row r="28" spans="1:25" x14ac:dyDescent="0.3">
      <c r="A28" s="1">
        <f t="shared" si="10"/>
        <v>2021</v>
      </c>
      <c r="B28" s="1">
        <f t="shared" si="11"/>
        <v>6</v>
      </c>
      <c r="C28" s="1">
        <f t="shared" si="18"/>
        <v>24258</v>
      </c>
      <c r="D28" s="1">
        <f t="shared" si="13"/>
        <v>10</v>
      </c>
      <c r="F28" s="4">
        <f>ROUND($D28/$C10*Inkomsten!D23,2)</f>
        <v>17.86</v>
      </c>
      <c r="G28" s="4">
        <f>ROUND($D28/$C10*Inkomsten!E23,2)</f>
        <v>17.86</v>
      </c>
      <c r="H28" s="4">
        <f t="shared" si="14"/>
        <v>50</v>
      </c>
      <c r="I28" s="4">
        <f t="shared" si="15"/>
        <v>50</v>
      </c>
      <c r="J28" s="1" t="str">
        <f t="shared" si="21"/>
        <v>juli</v>
      </c>
      <c r="K28" s="1" t="str">
        <f t="shared" si="22"/>
        <v>juli 2021</v>
      </c>
      <c r="M28" s="5">
        <f t="shared" ca="1" si="16"/>
        <v>55.35</v>
      </c>
      <c r="N28" s="1">
        <f t="shared" si="23"/>
        <v>7</v>
      </c>
      <c r="O28" s="1">
        <f t="shared" si="24"/>
        <v>2021</v>
      </c>
      <c r="Q28" s="5">
        <f t="shared" ca="1" si="17"/>
        <v>55.35</v>
      </c>
      <c r="X28" s="1">
        <v>2042</v>
      </c>
      <c r="Y28" s="1">
        <v>28</v>
      </c>
    </row>
    <row r="29" spans="1:25" x14ac:dyDescent="0.3">
      <c r="A29" s="1">
        <f t="shared" si="10"/>
        <v>2021</v>
      </c>
      <c r="B29" s="1">
        <f t="shared" si="11"/>
        <v>7</v>
      </c>
      <c r="C29" s="1">
        <f t="shared" si="18"/>
        <v>24259</v>
      </c>
      <c r="D29" s="1">
        <f t="shared" si="13"/>
        <v>13</v>
      </c>
      <c r="F29" s="4">
        <f>ROUND($D29/$C11*Inkomsten!D24,2)</f>
        <v>23.21</v>
      </c>
      <c r="G29" s="4">
        <f>ROUND($D29/$C11*Inkomsten!E24,2)</f>
        <v>23.21</v>
      </c>
      <c r="H29" s="4">
        <f t="shared" si="14"/>
        <v>50</v>
      </c>
      <c r="I29" s="4">
        <f t="shared" si="15"/>
        <v>50</v>
      </c>
      <c r="J29" s="1" t="str">
        <f t="shared" si="21"/>
        <v>augustus</v>
      </c>
      <c r="K29" s="1" t="str">
        <f t="shared" si="22"/>
        <v>augustus 2021</v>
      </c>
      <c r="M29" s="5">
        <f t="shared" ca="1" si="16"/>
        <v>55.36</v>
      </c>
      <c r="N29" s="1">
        <f t="shared" si="23"/>
        <v>8</v>
      </c>
      <c r="O29" s="1">
        <f t="shared" si="24"/>
        <v>2021</v>
      </c>
      <c r="Q29" s="5">
        <f t="shared" ca="1" si="17"/>
        <v>55.36</v>
      </c>
      <c r="X29" s="1">
        <v>2043</v>
      </c>
      <c r="Y29" s="1">
        <v>28</v>
      </c>
    </row>
    <row r="30" spans="1:25" x14ac:dyDescent="0.3">
      <c r="A30" s="1">
        <f t="shared" si="10"/>
        <v>2021</v>
      </c>
      <c r="B30" s="1">
        <f t="shared" si="11"/>
        <v>8</v>
      </c>
      <c r="C30" s="1">
        <f t="shared" si="18"/>
        <v>24260</v>
      </c>
      <c r="D30" s="1">
        <f t="shared" si="13"/>
        <v>16</v>
      </c>
      <c r="F30" s="4">
        <f>ROUND($D30/$C12*Inkomsten!D25,2)</f>
        <v>28.57</v>
      </c>
      <c r="G30" s="4">
        <f>ROUND($D30/$C12*Inkomsten!E25,2)</f>
        <v>28.57</v>
      </c>
      <c r="H30" s="4">
        <f t="shared" si="14"/>
        <v>50</v>
      </c>
      <c r="I30" s="4">
        <f t="shared" si="15"/>
        <v>50</v>
      </c>
      <c r="J30" s="1" t="str">
        <f t="shared" si="21"/>
        <v>september</v>
      </c>
      <c r="K30" s="1" t="str">
        <f t="shared" si="22"/>
        <v>september 2021</v>
      </c>
      <c r="M30" s="5">
        <f t="shared" ca="1" si="16"/>
        <v>53.57</v>
      </c>
      <c r="N30" s="1">
        <f t="shared" si="23"/>
        <v>9</v>
      </c>
      <c r="O30" s="1">
        <f t="shared" si="24"/>
        <v>2021</v>
      </c>
      <c r="Q30" s="5">
        <f t="shared" ca="1" si="17"/>
        <v>53.57</v>
      </c>
      <c r="X30" s="1">
        <v>2044</v>
      </c>
      <c r="Y30" s="1">
        <v>29</v>
      </c>
    </row>
    <row r="31" spans="1:25" x14ac:dyDescent="0.3">
      <c r="A31" s="1">
        <f t="shared" si="10"/>
        <v>2021</v>
      </c>
      <c r="B31" s="1">
        <f t="shared" si="11"/>
        <v>9</v>
      </c>
      <c r="C31" s="1">
        <f t="shared" si="18"/>
        <v>24261</v>
      </c>
      <c r="D31" s="1">
        <f t="shared" si="13"/>
        <v>18</v>
      </c>
      <c r="F31" s="4">
        <f>ROUND($D31/$C13*Inkomsten!D26,2)</f>
        <v>32.14</v>
      </c>
      <c r="G31" s="4">
        <f>ROUND($D31/$C13*Inkomsten!E26,2)</f>
        <v>32.14</v>
      </c>
      <c r="H31" s="4">
        <f t="shared" si="14"/>
        <v>50</v>
      </c>
      <c r="I31" s="4">
        <f t="shared" si="15"/>
        <v>50</v>
      </c>
      <c r="J31" s="1" t="str">
        <f t="shared" si="21"/>
        <v>oktober</v>
      </c>
      <c r="K31" s="1" t="str">
        <f t="shared" si="22"/>
        <v>oktober 2021</v>
      </c>
      <c r="M31" s="5">
        <f t="shared" ca="1" si="16"/>
        <v>55.36</v>
      </c>
      <c r="N31" s="1">
        <f t="shared" si="23"/>
        <v>10</v>
      </c>
      <c r="O31" s="1">
        <f t="shared" si="24"/>
        <v>2021</v>
      </c>
      <c r="Q31" s="5">
        <f t="shared" ca="1" si="17"/>
        <v>55.36</v>
      </c>
      <c r="X31" s="1">
        <v>2045</v>
      </c>
      <c r="Y31" s="1">
        <v>28</v>
      </c>
    </row>
    <row r="32" spans="1:25" x14ac:dyDescent="0.3">
      <c r="A32" s="1">
        <f t="shared" si="10"/>
        <v>2021</v>
      </c>
      <c r="B32" s="1">
        <f t="shared" si="11"/>
        <v>10</v>
      </c>
      <c r="C32" s="1">
        <f t="shared" si="18"/>
        <v>24262</v>
      </c>
      <c r="D32" s="1">
        <f t="shared" si="13"/>
        <v>21</v>
      </c>
      <c r="F32" s="4">
        <f>ROUND($D32/$C14*Inkomsten!D27,2)</f>
        <v>37.5</v>
      </c>
      <c r="G32" s="4">
        <f>ROUND($D32/$C14*Inkomsten!E27,2)</f>
        <v>37.5</v>
      </c>
      <c r="H32" s="4">
        <f t="shared" si="14"/>
        <v>50</v>
      </c>
      <c r="I32" s="4">
        <f t="shared" si="15"/>
        <v>50</v>
      </c>
      <c r="J32" s="1" t="str">
        <f t="shared" si="21"/>
        <v>november</v>
      </c>
      <c r="K32" s="1" t="str">
        <f t="shared" si="22"/>
        <v>november 2021</v>
      </c>
      <c r="M32" s="5">
        <f t="shared" ca="1" si="16"/>
        <v>53.57</v>
      </c>
      <c r="N32" s="1">
        <f t="shared" si="23"/>
        <v>11</v>
      </c>
      <c r="O32" s="1">
        <f t="shared" si="24"/>
        <v>2021</v>
      </c>
      <c r="Q32" s="5">
        <f t="shared" ca="1" si="17"/>
        <v>53.57</v>
      </c>
      <c r="X32" s="1">
        <v>2046</v>
      </c>
      <c r="Y32" s="1">
        <v>28</v>
      </c>
    </row>
    <row r="33" spans="1:25" x14ac:dyDescent="0.3">
      <c r="A33" s="1">
        <f t="shared" si="10"/>
        <v>2021</v>
      </c>
      <c r="B33" s="1">
        <f t="shared" si="11"/>
        <v>11</v>
      </c>
      <c r="C33" s="1">
        <f t="shared" si="18"/>
        <v>24263</v>
      </c>
      <c r="D33" s="1">
        <f t="shared" si="13"/>
        <v>23</v>
      </c>
      <c r="F33" s="4">
        <f>ROUND($D33/$C15*Inkomsten!D28,2)</f>
        <v>41.07</v>
      </c>
      <c r="G33" s="4">
        <f>ROUND($D33/$C15*Inkomsten!E28,2)</f>
        <v>41.07</v>
      </c>
      <c r="H33" s="4">
        <f t="shared" si="14"/>
        <v>50</v>
      </c>
      <c r="I33" s="4">
        <f t="shared" si="15"/>
        <v>50</v>
      </c>
      <c r="J33" s="1" t="str">
        <f t="shared" si="21"/>
        <v>december</v>
      </c>
      <c r="K33" s="1" t="str">
        <f t="shared" si="22"/>
        <v>december 2021</v>
      </c>
      <c r="M33" s="5">
        <f t="shared" ca="1" si="16"/>
        <v>55.36</v>
      </c>
      <c r="N33" s="1">
        <f t="shared" si="23"/>
        <v>12</v>
      </c>
      <c r="O33" s="1">
        <f t="shared" si="24"/>
        <v>2021</v>
      </c>
      <c r="Q33" s="5">
        <f t="shared" ca="1" si="17"/>
        <v>55.36</v>
      </c>
      <c r="X33" s="1">
        <v>2047</v>
      </c>
      <c r="Y33" s="1">
        <v>28</v>
      </c>
    </row>
    <row r="34" spans="1:25" x14ac:dyDescent="0.3">
      <c r="A34" s="1">
        <f t="shared" si="10"/>
        <v>2021</v>
      </c>
      <c r="B34" s="1">
        <f t="shared" si="11"/>
        <v>12</v>
      </c>
      <c r="C34" s="1">
        <f t="shared" si="18"/>
        <v>24264</v>
      </c>
      <c r="D34" s="1">
        <f t="shared" si="13"/>
        <v>26</v>
      </c>
      <c r="F34" s="4">
        <f>ROUND($D34/$C16*Inkomsten!D29,2)</f>
        <v>46.43</v>
      </c>
      <c r="G34" s="4">
        <f>ROUND($D34/$C16*Inkomsten!E29,2)</f>
        <v>46.43</v>
      </c>
      <c r="H34" s="4">
        <f t="shared" si="14"/>
        <v>50</v>
      </c>
      <c r="I34" s="4">
        <f t="shared" si="15"/>
        <v>50</v>
      </c>
      <c r="J34" s="1" t="str">
        <f t="shared" si="21"/>
        <v>januari</v>
      </c>
      <c r="K34" s="1" t="str">
        <f t="shared" si="22"/>
        <v>januari 2022</v>
      </c>
      <c r="M34" s="5">
        <f t="shared" ca="1" si="16"/>
        <v>3.57</v>
      </c>
      <c r="N34" s="1">
        <f t="shared" si="23"/>
        <v>1</v>
      </c>
      <c r="O34" s="1">
        <f t="shared" si="24"/>
        <v>2022</v>
      </c>
      <c r="Q34" s="5">
        <f t="shared" ca="1" si="17"/>
        <v>3.57</v>
      </c>
      <c r="X34" s="1">
        <v>2048</v>
      </c>
      <c r="Y34" s="1">
        <v>29</v>
      </c>
    </row>
    <row r="35" spans="1:25" x14ac:dyDescent="0.3">
      <c r="A35" s="6">
        <f t="shared" si="10"/>
        <v>2022</v>
      </c>
      <c r="B35" s="1">
        <f t="shared" si="11"/>
        <v>1</v>
      </c>
      <c r="C35" s="1">
        <f t="shared" si="18"/>
        <v>24265</v>
      </c>
      <c r="D35" s="1">
        <f t="shared" si="13"/>
        <v>28</v>
      </c>
      <c r="F35" s="4">
        <f>ROUND($D35/$C17*Inkomsten!D30,2)</f>
        <v>0</v>
      </c>
      <c r="G35" s="4">
        <f>ROUND($D35/$C17*Inkomsten!E30,2)</f>
        <v>0</v>
      </c>
      <c r="H35" s="4">
        <f t="shared" si="14"/>
        <v>0</v>
      </c>
      <c r="I35" s="4">
        <f t="shared" si="15"/>
        <v>0</v>
      </c>
      <c r="M35" s="5" t="e">
        <f ca="1">SUM(M21:M34)</f>
        <v>#VALUE!</v>
      </c>
      <c r="Q35" s="5">
        <f ca="1">SUM(Q21:Q34)</f>
        <v>700.00000000000023</v>
      </c>
    </row>
    <row r="36" spans="1:25" x14ac:dyDescent="0.3">
      <c r="A36" s="7">
        <f t="shared" ref="A36:A50" si="25">YEAR(B3)</f>
        <v>2021</v>
      </c>
      <c r="B36" s="7">
        <f t="shared" ref="B36:B50" si="26">MONTH(B3)</f>
        <v>1</v>
      </c>
      <c r="C36" s="1">
        <f>A36*12+B36</f>
        <v>24253</v>
      </c>
      <c r="D36" s="1">
        <f t="shared" ref="D36:D50" si="27">K3</f>
        <v>3</v>
      </c>
      <c r="F36" s="4" t="e">
        <f>ROUND($D36/$C3*Inkomsten!D16,2)</f>
        <v>#VALUE!</v>
      </c>
      <c r="G36" s="4">
        <f>ROUND($D36/$C3*Inkomsten!E16,2)</f>
        <v>5.36</v>
      </c>
      <c r="L36" s="4"/>
    </row>
    <row r="37" spans="1:25" x14ac:dyDescent="0.3">
      <c r="A37" s="7">
        <f t="shared" si="25"/>
        <v>2021</v>
      </c>
      <c r="B37" s="7">
        <f t="shared" si="26"/>
        <v>1</v>
      </c>
      <c r="C37" s="1">
        <f>A37*12+B37</f>
        <v>24253</v>
      </c>
      <c r="D37" s="1">
        <f t="shared" si="27"/>
        <v>0</v>
      </c>
      <c r="F37" s="4">
        <f>ROUND($D37/$C4*Inkomsten!D17,2)</f>
        <v>0</v>
      </c>
      <c r="G37" s="4">
        <f>ROUND($D37/$C4*Inkomsten!E17,2)</f>
        <v>0</v>
      </c>
      <c r="L37" s="4"/>
    </row>
    <row r="38" spans="1:25" x14ac:dyDescent="0.3">
      <c r="A38" s="7">
        <f t="shared" si="25"/>
        <v>2021</v>
      </c>
      <c r="B38" s="7">
        <f t="shared" si="26"/>
        <v>2</v>
      </c>
      <c r="C38" s="1">
        <f>A38*12+B38</f>
        <v>24254</v>
      </c>
      <c r="D38" s="1">
        <f t="shared" si="27"/>
        <v>0</v>
      </c>
      <c r="F38" s="4">
        <f>ROUND($D38/$C5*Inkomsten!D18,2)</f>
        <v>0</v>
      </c>
      <c r="G38" s="4">
        <f>ROUND($D38/$C5*Inkomsten!E18,2)</f>
        <v>0</v>
      </c>
      <c r="L38" s="4"/>
      <c r="Q38" s="4"/>
    </row>
    <row r="39" spans="1:25" x14ac:dyDescent="0.3">
      <c r="A39" s="7">
        <f t="shared" si="25"/>
        <v>2021</v>
      </c>
      <c r="B39" s="7">
        <f t="shared" si="26"/>
        <v>3</v>
      </c>
      <c r="C39" s="1">
        <f t="shared" ref="C39:C50" si="28">A39*12+B39</f>
        <v>24255</v>
      </c>
      <c r="D39" s="1">
        <f t="shared" si="27"/>
        <v>0</v>
      </c>
      <c r="F39" s="4">
        <f>ROUND($D39/$C6*Inkomsten!D19,2)</f>
        <v>0</v>
      </c>
      <c r="G39" s="4">
        <f>ROUND($D39/$C6*Inkomsten!E19,2)</f>
        <v>0</v>
      </c>
      <c r="L39" s="4"/>
      <c r="Q39" s="4"/>
    </row>
    <row r="40" spans="1:25" x14ac:dyDescent="0.3">
      <c r="A40" s="7">
        <f t="shared" si="25"/>
        <v>2021</v>
      </c>
      <c r="B40" s="7">
        <f t="shared" si="26"/>
        <v>4</v>
      </c>
      <c r="C40" s="1">
        <f t="shared" si="28"/>
        <v>24256</v>
      </c>
      <c r="D40" s="1">
        <f t="shared" si="27"/>
        <v>25</v>
      </c>
      <c r="F40" s="4">
        <f>ROUND($D40/$C7*Inkomsten!D20,2)</f>
        <v>66.959999999999994</v>
      </c>
      <c r="G40" s="4">
        <f>ROUND($D40/$C7*Inkomsten!E20,2)</f>
        <v>44.64</v>
      </c>
      <c r="L40" s="4"/>
      <c r="Q40" s="4"/>
    </row>
    <row r="41" spans="1:25" x14ac:dyDescent="0.3">
      <c r="A41" s="7">
        <f t="shared" si="25"/>
        <v>2021</v>
      </c>
      <c r="B41" s="7">
        <f t="shared" si="26"/>
        <v>5</v>
      </c>
      <c r="C41" s="1">
        <f t="shared" si="28"/>
        <v>24257</v>
      </c>
      <c r="D41" s="1">
        <f t="shared" si="27"/>
        <v>23</v>
      </c>
      <c r="F41" s="4">
        <f>ROUND($D41/$C8*Inkomsten!D21,2)</f>
        <v>82.14</v>
      </c>
      <c r="G41" s="4">
        <f>ROUND($D41/$C8*Inkomsten!E21,2)</f>
        <v>41.07</v>
      </c>
      <c r="L41" s="4"/>
      <c r="Q41" s="4"/>
    </row>
    <row r="42" spans="1:25" x14ac:dyDescent="0.3">
      <c r="A42" s="7">
        <f t="shared" si="25"/>
        <v>2021</v>
      </c>
      <c r="B42" s="7">
        <f t="shared" si="26"/>
        <v>6</v>
      </c>
      <c r="C42" s="1">
        <f t="shared" si="28"/>
        <v>24258</v>
      </c>
      <c r="D42" s="1">
        <f t="shared" si="27"/>
        <v>20</v>
      </c>
      <c r="F42" s="4">
        <f>ROUND($D42/$C9*Inkomsten!D22,2)</f>
        <v>35.71</v>
      </c>
      <c r="G42" s="4">
        <f>ROUND($D42/$C9*Inkomsten!E22,2)</f>
        <v>35.71</v>
      </c>
      <c r="L42" s="4"/>
      <c r="Q42" s="4"/>
    </row>
    <row r="43" spans="1:25" x14ac:dyDescent="0.3">
      <c r="A43" s="7">
        <f t="shared" si="25"/>
        <v>2021</v>
      </c>
      <c r="B43" s="7">
        <f t="shared" si="26"/>
        <v>7</v>
      </c>
      <c r="C43" s="1">
        <f t="shared" si="28"/>
        <v>24259</v>
      </c>
      <c r="D43" s="1">
        <f t="shared" si="27"/>
        <v>18</v>
      </c>
      <c r="F43" s="4">
        <f>ROUND($D43/$C10*Inkomsten!D23,2)</f>
        <v>32.14</v>
      </c>
      <c r="G43" s="4">
        <f>ROUND($D43/$C10*Inkomsten!E23,2)</f>
        <v>32.14</v>
      </c>
      <c r="L43" s="4"/>
      <c r="Q43" s="4"/>
    </row>
    <row r="44" spans="1:25" x14ac:dyDescent="0.3">
      <c r="A44" s="7">
        <f t="shared" si="25"/>
        <v>2021</v>
      </c>
      <c r="B44" s="7">
        <f t="shared" si="26"/>
        <v>8</v>
      </c>
      <c r="C44" s="1">
        <f t="shared" si="28"/>
        <v>24260</v>
      </c>
      <c r="D44" s="1">
        <f t="shared" si="27"/>
        <v>15</v>
      </c>
      <c r="F44" s="4">
        <f>ROUND($D44/$C11*Inkomsten!D24,2)</f>
        <v>26.79</v>
      </c>
      <c r="G44" s="4">
        <f>ROUND($D44/$C11*Inkomsten!E24,2)</f>
        <v>26.79</v>
      </c>
      <c r="L44" s="4"/>
      <c r="Q44" s="4"/>
    </row>
    <row r="45" spans="1:25" x14ac:dyDescent="0.3">
      <c r="A45" s="7">
        <f t="shared" si="25"/>
        <v>2021</v>
      </c>
      <c r="B45" s="7">
        <f t="shared" si="26"/>
        <v>9</v>
      </c>
      <c r="C45" s="1">
        <f t="shared" si="28"/>
        <v>24261</v>
      </c>
      <c r="D45" s="1">
        <f t="shared" si="27"/>
        <v>12</v>
      </c>
      <c r="F45" s="4">
        <f>ROUND($D45/$C12*Inkomsten!D25,2)</f>
        <v>21.43</v>
      </c>
      <c r="G45" s="4">
        <f>ROUND($D45/$C12*Inkomsten!E25,2)</f>
        <v>21.43</v>
      </c>
      <c r="L45" s="4"/>
      <c r="Q45" s="4"/>
    </row>
    <row r="46" spans="1:25" x14ac:dyDescent="0.3">
      <c r="A46" s="7">
        <f t="shared" si="25"/>
        <v>2021</v>
      </c>
      <c r="B46" s="7">
        <f t="shared" si="26"/>
        <v>10</v>
      </c>
      <c r="C46" s="1">
        <f t="shared" si="28"/>
        <v>24262</v>
      </c>
      <c r="D46" s="1">
        <f t="shared" si="27"/>
        <v>10</v>
      </c>
      <c r="F46" s="4">
        <f>ROUND($D46/$C13*Inkomsten!D26,2)</f>
        <v>17.86</v>
      </c>
      <c r="G46" s="4">
        <f>ROUND($D46/$C13*Inkomsten!E26,2)</f>
        <v>17.86</v>
      </c>
      <c r="L46" s="4"/>
      <c r="Q46" s="4"/>
    </row>
    <row r="47" spans="1:25" x14ac:dyDescent="0.3">
      <c r="A47" s="7">
        <f t="shared" si="25"/>
        <v>2021</v>
      </c>
      <c r="B47" s="7">
        <f t="shared" si="26"/>
        <v>11</v>
      </c>
      <c r="C47" s="1">
        <f t="shared" si="28"/>
        <v>24263</v>
      </c>
      <c r="D47" s="1">
        <f t="shared" si="27"/>
        <v>7</v>
      </c>
      <c r="F47" s="4">
        <f>ROUND($D47/$C14*Inkomsten!D27,2)</f>
        <v>12.5</v>
      </c>
      <c r="G47" s="4">
        <f>ROUND($D47/$C14*Inkomsten!E27,2)</f>
        <v>12.5</v>
      </c>
      <c r="L47" s="4"/>
      <c r="Q47" s="4"/>
    </row>
    <row r="48" spans="1:25" x14ac:dyDescent="0.3">
      <c r="A48" s="7">
        <f t="shared" si="25"/>
        <v>2021</v>
      </c>
      <c r="B48" s="7">
        <f t="shared" si="26"/>
        <v>12</v>
      </c>
      <c r="C48" s="1">
        <f t="shared" si="28"/>
        <v>24264</v>
      </c>
      <c r="D48" s="1">
        <f t="shared" si="27"/>
        <v>5</v>
      </c>
      <c r="F48" s="4">
        <f>ROUND($D48/$C15*Inkomsten!D28,2)</f>
        <v>8.93</v>
      </c>
      <c r="G48" s="4">
        <f>ROUND($D48/$C15*Inkomsten!E28,2)</f>
        <v>8.93</v>
      </c>
      <c r="L48" s="4"/>
      <c r="Q48" s="4"/>
    </row>
    <row r="49" spans="1:17" x14ac:dyDescent="0.3">
      <c r="A49" s="7">
        <f t="shared" si="25"/>
        <v>2022</v>
      </c>
      <c r="B49" s="7">
        <f t="shared" si="26"/>
        <v>1</v>
      </c>
      <c r="C49" s="1">
        <f t="shared" si="28"/>
        <v>24265</v>
      </c>
      <c r="D49" s="1">
        <f t="shared" si="27"/>
        <v>2</v>
      </c>
      <c r="F49" s="4">
        <f>ROUND($D49/$C16*Inkomsten!D29,2)</f>
        <v>3.57</v>
      </c>
      <c r="G49" s="4">
        <f>ROUND($D49/$C16*Inkomsten!E29,2)</f>
        <v>3.57</v>
      </c>
      <c r="L49" s="4"/>
      <c r="Q49" s="4"/>
    </row>
    <row r="50" spans="1:17" x14ac:dyDescent="0.3">
      <c r="A50" s="7">
        <f t="shared" si="25"/>
        <v>2022</v>
      </c>
      <c r="B50" s="7">
        <f t="shared" si="26"/>
        <v>1</v>
      </c>
      <c r="C50" s="1">
        <f t="shared" si="28"/>
        <v>24265</v>
      </c>
      <c r="D50" s="1">
        <f t="shared" si="27"/>
        <v>0</v>
      </c>
      <c r="F50" s="4">
        <f>ROUND($D50/$C17*Inkomsten!D30,2)</f>
        <v>0</v>
      </c>
      <c r="G50" s="4">
        <f>ROUND($D50/$C17*Inkomsten!E30,2)</f>
        <v>0</v>
      </c>
      <c r="L50" s="4"/>
      <c r="Q50" s="4"/>
    </row>
    <row r="51" spans="1:17" x14ac:dyDescent="0.3">
      <c r="Q51" s="4"/>
    </row>
    <row r="52" spans="1:17" x14ac:dyDescent="0.3">
      <c r="F52" s="4" t="e">
        <f>SUM(F22:F51)</f>
        <v>#VALUE!</v>
      </c>
      <c r="Q52" s="4"/>
    </row>
    <row r="53" spans="1:17" x14ac:dyDescent="0.3">
      <c r="A53" s="1">
        <f>YEAR(A3)</f>
        <v>2020</v>
      </c>
      <c r="B53" s="1">
        <f>MONTH(A3)</f>
        <v>12</v>
      </c>
      <c r="C53" s="1">
        <f>A53*12+B53</f>
        <v>24252</v>
      </c>
    </row>
    <row r="54" spans="1:17" x14ac:dyDescent="0.3">
      <c r="A54" s="1">
        <f>IF(B53=12,A53+1)</f>
        <v>2021</v>
      </c>
      <c r="B54" s="1">
        <f>IF(B53+1=13,1,B53+1)</f>
        <v>1</v>
      </c>
      <c r="C54" s="1">
        <f t="shared" ref="C54:C66" si="29">A54*12+B54</f>
        <v>24253</v>
      </c>
    </row>
    <row r="55" spans="1:17" x14ac:dyDescent="0.3">
      <c r="A55" s="1">
        <f>IF(B54=12,A54+1,A54)</f>
        <v>2021</v>
      </c>
      <c r="B55" s="1">
        <f t="shared" ref="B55:B66" si="30">IF(B54+1=13,1,B54+1)</f>
        <v>2</v>
      </c>
      <c r="C55" s="1">
        <f t="shared" si="29"/>
        <v>24254</v>
      </c>
    </row>
    <row r="56" spans="1:17" x14ac:dyDescent="0.3">
      <c r="A56" s="1">
        <f t="shared" ref="A56:A66" si="31">IF(B55=12,A55+1,A55)</f>
        <v>2021</v>
      </c>
      <c r="B56" s="1">
        <f t="shared" si="30"/>
        <v>3</v>
      </c>
      <c r="C56" s="1">
        <f t="shared" si="29"/>
        <v>24255</v>
      </c>
    </row>
    <row r="57" spans="1:17" x14ac:dyDescent="0.3">
      <c r="A57" s="1">
        <f t="shared" si="31"/>
        <v>2021</v>
      </c>
      <c r="B57" s="1">
        <f t="shared" si="30"/>
        <v>4</v>
      </c>
      <c r="C57" s="1">
        <f t="shared" si="29"/>
        <v>24256</v>
      </c>
    </row>
    <row r="58" spans="1:17" x14ac:dyDescent="0.3">
      <c r="A58" s="1">
        <f t="shared" si="31"/>
        <v>2021</v>
      </c>
      <c r="B58" s="1">
        <f t="shared" si="30"/>
        <v>5</v>
      </c>
      <c r="C58" s="1">
        <f t="shared" si="29"/>
        <v>24257</v>
      </c>
    </row>
    <row r="59" spans="1:17" x14ac:dyDescent="0.3">
      <c r="A59" s="1">
        <f t="shared" si="31"/>
        <v>2021</v>
      </c>
      <c r="B59" s="1">
        <f t="shared" si="30"/>
        <v>6</v>
      </c>
      <c r="C59" s="1">
        <f t="shared" si="29"/>
        <v>24258</v>
      </c>
    </row>
    <row r="60" spans="1:17" x14ac:dyDescent="0.3">
      <c r="A60" s="1">
        <f t="shared" si="31"/>
        <v>2021</v>
      </c>
      <c r="B60" s="1">
        <f t="shared" si="30"/>
        <v>7</v>
      </c>
      <c r="C60" s="1">
        <f t="shared" si="29"/>
        <v>24259</v>
      </c>
    </row>
    <row r="61" spans="1:17" x14ac:dyDescent="0.3">
      <c r="A61" s="1">
        <f t="shared" si="31"/>
        <v>2021</v>
      </c>
      <c r="B61" s="1">
        <f t="shared" si="30"/>
        <v>8</v>
      </c>
      <c r="C61" s="1">
        <f t="shared" si="29"/>
        <v>24260</v>
      </c>
    </row>
    <row r="62" spans="1:17" x14ac:dyDescent="0.3">
      <c r="A62" s="1">
        <f t="shared" si="31"/>
        <v>2021</v>
      </c>
      <c r="B62" s="1">
        <f t="shared" si="30"/>
        <v>9</v>
      </c>
      <c r="C62" s="1">
        <f t="shared" si="29"/>
        <v>24261</v>
      </c>
    </row>
    <row r="63" spans="1:17" x14ac:dyDescent="0.3">
      <c r="A63" s="1">
        <f t="shared" si="31"/>
        <v>2021</v>
      </c>
      <c r="B63" s="1">
        <f t="shared" si="30"/>
        <v>10</v>
      </c>
      <c r="C63" s="1">
        <f t="shared" si="29"/>
        <v>24262</v>
      </c>
    </row>
    <row r="64" spans="1:17" x14ac:dyDescent="0.3">
      <c r="A64" s="1">
        <f t="shared" si="31"/>
        <v>2021</v>
      </c>
      <c r="B64" s="1">
        <f t="shared" si="30"/>
        <v>11</v>
      </c>
      <c r="C64" s="1">
        <f t="shared" si="29"/>
        <v>24263</v>
      </c>
    </row>
    <row r="65" spans="1:3" x14ac:dyDescent="0.3">
      <c r="A65" s="1">
        <f t="shared" si="31"/>
        <v>2021</v>
      </c>
      <c r="B65" s="1">
        <f t="shared" si="30"/>
        <v>12</v>
      </c>
      <c r="C65" s="1">
        <f t="shared" si="29"/>
        <v>24264</v>
      </c>
    </row>
    <row r="66" spans="1:3" x14ac:dyDescent="0.3">
      <c r="A66" s="1">
        <f t="shared" si="31"/>
        <v>2022</v>
      </c>
      <c r="B66" s="1">
        <f t="shared" si="30"/>
        <v>1</v>
      </c>
      <c r="C66" s="1">
        <f t="shared" si="29"/>
        <v>24265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showGridLines="0" topLeftCell="A7" workbookViewId="0">
      <selection activeCell="J11" sqref="J11"/>
    </sheetView>
  </sheetViews>
  <sheetFormatPr defaultRowHeight="14.4" x14ac:dyDescent="0.3"/>
  <cols>
    <col min="1" max="16384" width="8.88671875" style="57"/>
  </cols>
  <sheetData>
    <row r="1" spans="1:1" ht="25.8" x14ac:dyDescent="0.5">
      <c r="A1" s="56" t="s">
        <v>30</v>
      </c>
    </row>
    <row r="3" spans="1:1" ht="18" x14ac:dyDescent="0.35">
      <c r="A3" s="58" t="s">
        <v>31</v>
      </c>
    </row>
    <row r="4" spans="1:1" ht="18" x14ac:dyDescent="0.35">
      <c r="A4" s="58"/>
    </row>
    <row r="5" spans="1:1" x14ac:dyDescent="0.3">
      <c r="A5" s="57" t="s">
        <v>54</v>
      </c>
    </row>
    <row r="6" spans="1:1" x14ac:dyDescent="0.3">
      <c r="A6" s="57" t="s">
        <v>55</v>
      </c>
    </row>
    <row r="7" spans="1:1" x14ac:dyDescent="0.3">
      <c r="A7" s="57" t="s">
        <v>56</v>
      </c>
    </row>
    <row r="8" spans="1:1" x14ac:dyDescent="0.3">
      <c r="A8" s="57" t="s">
        <v>58</v>
      </c>
    </row>
    <row r="9" spans="1:1" x14ac:dyDescent="0.3">
      <c r="A9" s="57" t="s">
        <v>57</v>
      </c>
    </row>
    <row r="10" spans="1:1" x14ac:dyDescent="0.3">
      <c r="A10" s="57" t="s">
        <v>32</v>
      </c>
    </row>
    <row r="11" spans="1:1" x14ac:dyDescent="0.3">
      <c r="A11" s="57" t="s">
        <v>33</v>
      </c>
    </row>
    <row r="12" spans="1:1" x14ac:dyDescent="0.3">
      <c r="A12" s="57" t="s">
        <v>34</v>
      </c>
    </row>
    <row r="13" spans="1:1" x14ac:dyDescent="0.3">
      <c r="A13" s="57" t="s">
        <v>35</v>
      </c>
    </row>
    <row r="14" spans="1:1" x14ac:dyDescent="0.3">
      <c r="A14" s="57" t="s">
        <v>36</v>
      </c>
    </row>
    <row r="16" spans="1:1" ht="18" x14ac:dyDescent="0.35">
      <c r="A16" s="58" t="s">
        <v>37</v>
      </c>
    </row>
    <row r="18" spans="1:1" x14ac:dyDescent="0.3">
      <c r="A18" s="59" t="s">
        <v>25</v>
      </c>
    </row>
    <row r="19" spans="1:1" x14ac:dyDescent="0.3">
      <c r="A19" s="57" t="s">
        <v>38</v>
      </c>
    </row>
    <row r="20" spans="1:1" x14ac:dyDescent="0.3">
      <c r="A20" s="57" t="s">
        <v>39</v>
      </c>
    </row>
    <row r="21" spans="1:1" x14ac:dyDescent="0.3">
      <c r="A21" s="57" t="s">
        <v>40</v>
      </c>
    </row>
    <row r="22" spans="1:1" x14ac:dyDescent="0.3">
      <c r="A22" s="57" t="s">
        <v>41</v>
      </c>
    </row>
    <row r="23" spans="1:1" x14ac:dyDescent="0.3">
      <c r="A23" s="57" t="s">
        <v>42</v>
      </c>
    </row>
    <row r="25" spans="1:1" x14ac:dyDescent="0.3">
      <c r="A25" s="59" t="s">
        <v>26</v>
      </c>
    </row>
    <row r="26" spans="1:1" x14ac:dyDescent="0.3">
      <c r="A26" s="57" t="s">
        <v>43</v>
      </c>
    </row>
    <row r="27" spans="1:1" x14ac:dyDescent="0.3">
      <c r="A27" s="57" t="s">
        <v>44</v>
      </c>
    </row>
    <row r="28" spans="1:1" x14ac:dyDescent="0.3">
      <c r="A28" s="57" t="s">
        <v>45</v>
      </c>
    </row>
    <row r="29" spans="1:1" x14ac:dyDescent="0.3">
      <c r="A29" s="57" t="s">
        <v>46</v>
      </c>
    </row>
    <row r="30" spans="1:1" x14ac:dyDescent="0.3">
      <c r="A30" s="57" t="s">
        <v>47</v>
      </c>
    </row>
    <row r="31" spans="1:1" x14ac:dyDescent="0.3">
      <c r="A31" s="57" t="s">
        <v>48</v>
      </c>
    </row>
    <row r="32" spans="1:1" x14ac:dyDescent="0.3">
      <c r="A32" s="57" t="s">
        <v>49</v>
      </c>
    </row>
    <row r="33" spans="1:1" x14ac:dyDescent="0.3">
      <c r="A33" s="57" t="s">
        <v>50</v>
      </c>
    </row>
    <row r="34" spans="1:1" x14ac:dyDescent="0.3">
      <c r="A34" s="57" t="s">
        <v>53</v>
      </c>
    </row>
    <row r="35" spans="1:1" x14ac:dyDescent="0.3">
      <c r="A35" s="57" t="s">
        <v>51</v>
      </c>
    </row>
    <row r="36" spans="1:1" x14ac:dyDescent="0.3">
      <c r="A36" s="57" t="s">
        <v>52</v>
      </c>
    </row>
  </sheetData>
  <sheetProtection algorithmName="SHA-512" hashValue="YQ7YK+6DP2Hoe2UZqZv+sylOJLdc22O5SLjCg6Yj50ifXFp113OLA9TJoPb3yunUK3DzKuxmbbnPx2oe95qCRw==" saltValue="0UHes019bUI1rWEe2YSuBw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19453-F52C-40E7-8A27-6EE39D52CB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504CC6-0838-480E-A4BC-0095FDB789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501C-27E0-4FFB-8BC7-22EB3F722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Inkomsten</vt:lpstr>
      <vt:lpstr>Gegevens</vt:lpstr>
      <vt:lpstr>Berekening-nw</vt:lpstr>
      <vt:lpstr>Handleiding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Roberto Reali</cp:lastModifiedBy>
  <cp:lastPrinted>2019-03-15T08:03:24Z</cp:lastPrinted>
  <dcterms:created xsi:type="dcterms:W3CDTF">2016-07-21T12:59:14Z</dcterms:created>
  <dcterms:modified xsi:type="dcterms:W3CDTF">2021-06-09T20:41:13Z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